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SEPOL - EQLIC\PROCESSOS\2022\manutenção predial\e-processo\PUBLICAÇÃO\"/>
    </mc:Choice>
  </mc:AlternateContent>
  <xr:revisionPtr revIDLastSave="0" documentId="13_ncr:1_{BB415A97-5C6A-450D-A093-39FA95D63AB0}" xr6:coauthVersionLast="47" xr6:coauthVersionMax="47" xr10:uidLastSave="{00000000-0000-0000-0000-000000000000}"/>
  <bookViews>
    <workbookView xWindow="-19310" yWindow="-110" windowWidth="19420" windowHeight="11020" xr2:uid="{30F2E39E-B103-41AD-A96C-02AD36E9538D}"/>
  </bookViews>
  <sheets>
    <sheet name="Dados do Licitante" sheetId="1" r:id="rId1"/>
    <sheet name="Uniformes" sheetId="2" r:id="rId2"/>
    <sheet name="Oficial de Manutenção predial" sheetId="3" r:id="rId3"/>
    <sheet name="Técnico ar-condicionado" sheetId="4" r:id="rId4"/>
    <sheet name="instalador Hidráulico" sheetId="5" r:id="rId5"/>
    <sheet name="Eletricista" sheetId="6" r:id="rId6"/>
    <sheet name="ITEM 01 " sheetId="7" r:id="rId7"/>
    <sheet name="ITEM 02 Serviços sob demanda" sheetId="8" r:id="rId8"/>
    <sheet name="Total do Grupo" sheetId="9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8" l="1"/>
  <c r="I24" i="8"/>
  <c r="I25" i="8"/>
  <c r="I26" i="8"/>
  <c r="I27" i="8"/>
  <c r="I28" i="8"/>
  <c r="I22" i="8"/>
  <c r="F13" i="8"/>
  <c r="G17" i="8"/>
  <c r="G8" i="8"/>
  <c r="G9" i="8"/>
  <c r="G10" i="8"/>
  <c r="G7" i="8"/>
  <c r="G6" i="8"/>
  <c r="G5" i="8"/>
  <c r="G4" i="8"/>
  <c r="G3" i="8"/>
  <c r="C3" i="9"/>
  <c r="B3" i="9"/>
  <c r="D5" i="8"/>
  <c r="E5" i="8"/>
  <c r="H30" i="8"/>
  <c r="H32" i="8" s="1"/>
  <c r="G30" i="8"/>
  <c r="G32" i="8" s="1"/>
  <c r="F14" i="8"/>
  <c r="F16" i="8" s="1"/>
  <c r="E10" i="8"/>
  <c r="D9" i="8"/>
  <c r="F9" i="8" s="1"/>
  <c r="D8" i="8"/>
  <c r="F8" i="8" s="1"/>
  <c r="D7" i="8"/>
  <c r="F7" i="8" s="1"/>
  <c r="D6" i="8"/>
  <c r="F6" i="8" s="1"/>
  <c r="D4" i="8"/>
  <c r="F4" i="8" s="1"/>
  <c r="D3" i="8"/>
  <c r="E3" i="8" s="1"/>
  <c r="F97" i="1"/>
  <c r="F102" i="1" s="1"/>
  <c r="B11" i="7" s="1"/>
  <c r="F100" i="1"/>
  <c r="F17" i="8" l="1"/>
  <c r="D10" i="8"/>
  <c r="F10" i="8" s="1"/>
  <c r="G23" i="8" l="1"/>
  <c r="G24" i="8"/>
  <c r="G25" i="8"/>
  <c r="G26" i="8"/>
  <c r="G27" i="8"/>
  <c r="G28" i="8"/>
  <c r="G22" i="8"/>
  <c r="E23" i="8"/>
  <c r="H23" i="8" s="1"/>
  <c r="E24" i="8"/>
  <c r="H24" i="8" s="1"/>
  <c r="E25" i="8"/>
  <c r="H25" i="8" s="1"/>
  <c r="E26" i="8"/>
  <c r="H26" i="8" s="1"/>
  <c r="E27" i="8"/>
  <c r="H27" i="8" s="1"/>
  <c r="E28" i="8"/>
  <c r="H28" i="8" s="1"/>
  <c r="E22" i="8"/>
  <c r="H22" i="8" s="1"/>
  <c r="H29" i="8" l="1"/>
  <c r="H33" i="8" s="1"/>
  <c r="G29" i="8"/>
  <c r="G33" i="8" s="1"/>
  <c r="D36" i="8" s="1"/>
  <c r="B15" i="2"/>
  <c r="E13" i="2"/>
  <c r="J114" i="6"/>
  <c r="J113" i="6"/>
  <c r="J98" i="6"/>
  <c r="K89" i="6"/>
  <c r="K93" i="6" s="1"/>
  <c r="H66" i="6"/>
  <c r="J66" i="6" s="1"/>
  <c r="J67" i="6" s="1"/>
  <c r="J59" i="6"/>
  <c r="K55" i="6"/>
  <c r="K54" i="6"/>
  <c r="K53" i="6"/>
  <c r="K50" i="6"/>
  <c r="H43" i="6"/>
  <c r="F43" i="6"/>
  <c r="J43" i="6" s="1"/>
  <c r="J36" i="6" s="1"/>
  <c r="J60" i="6" s="1"/>
  <c r="J32" i="6"/>
  <c r="K17" i="6"/>
  <c r="K16" i="6"/>
  <c r="K14" i="6"/>
  <c r="K20" i="6" s="1"/>
  <c r="K21" i="6" s="1"/>
  <c r="J114" i="5"/>
  <c r="J113" i="5"/>
  <c r="J98" i="5"/>
  <c r="K89" i="5"/>
  <c r="K93" i="5" s="1"/>
  <c r="H66" i="5"/>
  <c r="J66" i="5" s="1"/>
  <c r="J67" i="5" s="1"/>
  <c r="K55" i="5"/>
  <c r="K54" i="5"/>
  <c r="K53" i="5"/>
  <c r="K50" i="5"/>
  <c r="H43" i="5"/>
  <c r="F43" i="5"/>
  <c r="J32" i="5"/>
  <c r="J59" i="5" s="1"/>
  <c r="K21" i="5"/>
  <c r="K17" i="5"/>
  <c r="K16" i="5"/>
  <c r="K14" i="5"/>
  <c r="K20" i="5" s="1"/>
  <c r="K14" i="4"/>
  <c r="K20" i="4" s="1"/>
  <c r="J114" i="4"/>
  <c r="J113" i="4"/>
  <c r="J98" i="4"/>
  <c r="K89" i="4"/>
  <c r="K93" i="4" s="1"/>
  <c r="H66" i="4"/>
  <c r="J66" i="4" s="1"/>
  <c r="J67" i="4" s="1"/>
  <c r="K55" i="4"/>
  <c r="K54" i="4"/>
  <c r="K53" i="4"/>
  <c r="K50" i="4"/>
  <c r="H43" i="4"/>
  <c r="F43" i="4"/>
  <c r="J43" i="4" s="1"/>
  <c r="J36" i="4" s="1"/>
  <c r="J60" i="4" s="1"/>
  <c r="J32" i="4"/>
  <c r="J59" i="4" s="1"/>
  <c r="K21" i="4"/>
  <c r="K17" i="4"/>
  <c r="K16" i="4"/>
  <c r="J113" i="3"/>
  <c r="G78" i="1"/>
  <c r="G76" i="1"/>
  <c r="F43" i="3"/>
  <c r="H43" i="3"/>
  <c r="J114" i="3"/>
  <c r="J98" i="3"/>
  <c r="H66" i="3"/>
  <c r="J66" i="3" s="1"/>
  <c r="J67" i="3" s="1"/>
  <c r="K55" i="3"/>
  <c r="K54" i="3"/>
  <c r="K53" i="3"/>
  <c r="K50" i="3"/>
  <c r="A50" i="1"/>
  <c r="A60" i="1"/>
  <c r="K17" i="3"/>
  <c r="K16" i="3"/>
  <c r="E20" i="2"/>
  <c r="K14" i="3"/>
  <c r="C46" i="1"/>
  <c r="G70" i="1"/>
  <c r="H68" i="5" s="1"/>
  <c r="J68" i="5" s="1"/>
  <c r="K36" i="1"/>
  <c r="K47" i="5" s="1"/>
  <c r="E42" i="1"/>
  <c r="L36" i="1" s="1"/>
  <c r="K47" i="6" s="1"/>
  <c r="E40" i="1"/>
  <c r="E41" i="1"/>
  <c r="K89" i="3"/>
  <c r="K93" i="3" s="1"/>
  <c r="J32" i="3"/>
  <c r="J59" i="3" s="1"/>
  <c r="K21" i="3"/>
  <c r="E29" i="2"/>
  <c r="E28" i="2"/>
  <c r="E27" i="2"/>
  <c r="E26" i="2"/>
  <c r="E25" i="2"/>
  <c r="E24" i="2"/>
  <c r="E23" i="2"/>
  <c r="E22" i="2"/>
  <c r="E21" i="2"/>
  <c r="E19" i="2"/>
  <c r="E18" i="2"/>
  <c r="E17" i="2"/>
  <c r="E16" i="2"/>
  <c r="E15" i="2"/>
  <c r="E14" i="2"/>
  <c r="E12" i="2"/>
  <c r="E9" i="2"/>
  <c r="E8" i="2"/>
  <c r="E7" i="2"/>
  <c r="E6" i="2"/>
  <c r="E5" i="2"/>
  <c r="E4" i="2"/>
  <c r="E3" i="2"/>
  <c r="H79" i="1"/>
  <c r="H78" i="1"/>
  <c r="J83" i="3" s="1"/>
  <c r="H77" i="1"/>
  <c r="J82" i="3" s="1"/>
  <c r="H76" i="1"/>
  <c r="J81" i="3" s="1"/>
  <c r="H75" i="1"/>
  <c r="J80" i="4" s="1"/>
  <c r="H74" i="1"/>
  <c r="J79" i="3" s="1"/>
  <c r="C60" i="1"/>
  <c r="F56" i="1"/>
  <c r="K51" i="5" s="1"/>
  <c r="G50" i="1"/>
  <c r="K49" i="6" s="1"/>
  <c r="G46" i="1"/>
  <c r="K48" i="6" s="1"/>
  <c r="E39" i="1"/>
  <c r="H36" i="1"/>
  <c r="G31" i="1"/>
  <c r="G29" i="1"/>
  <c r="F99" i="1" s="1"/>
  <c r="G28" i="1"/>
  <c r="F98" i="1" s="1"/>
  <c r="D31" i="1"/>
  <c r="A5" i="1"/>
  <c r="B36" i="8" l="1"/>
  <c r="C4" i="9"/>
  <c r="C5" i="9" s="1"/>
  <c r="J82" i="6"/>
  <c r="J36" i="1"/>
  <c r="K47" i="4" s="1"/>
  <c r="J79" i="5"/>
  <c r="K51" i="6"/>
  <c r="J80" i="5"/>
  <c r="J83" i="6"/>
  <c r="K48" i="3"/>
  <c r="K48" i="4"/>
  <c r="J83" i="4"/>
  <c r="K49" i="5"/>
  <c r="J81" i="5"/>
  <c r="H68" i="6"/>
  <c r="J68" i="6" s="1"/>
  <c r="J69" i="6" s="1"/>
  <c r="J81" i="4"/>
  <c r="K51" i="3"/>
  <c r="H68" i="3"/>
  <c r="J68" i="3" s="1"/>
  <c r="K51" i="4"/>
  <c r="H68" i="4"/>
  <c r="J68" i="4" s="1"/>
  <c r="J69" i="4" s="1"/>
  <c r="J82" i="5"/>
  <c r="J79" i="6"/>
  <c r="K49" i="3"/>
  <c r="K49" i="4"/>
  <c r="J82" i="4"/>
  <c r="K48" i="5"/>
  <c r="J80" i="3"/>
  <c r="J79" i="4"/>
  <c r="J83" i="5"/>
  <c r="J80" i="6"/>
  <c r="J43" i="5"/>
  <c r="J36" i="5" s="1"/>
  <c r="J60" i="5" s="1"/>
  <c r="J81" i="6"/>
  <c r="K26" i="6"/>
  <c r="K31" i="6" s="1"/>
  <c r="K26" i="5"/>
  <c r="K105" i="5" s="1"/>
  <c r="K26" i="4"/>
  <c r="K30" i="4" s="1"/>
  <c r="K105" i="4"/>
  <c r="J43" i="3"/>
  <c r="J36" i="3" s="1"/>
  <c r="J60" i="3" s="1"/>
  <c r="E32" i="2"/>
  <c r="H28" i="1"/>
  <c r="H31" i="1" s="1"/>
  <c r="B12" i="7" s="1"/>
  <c r="A36" i="1"/>
  <c r="K20" i="3"/>
  <c r="K26" i="3" s="1"/>
  <c r="G60" i="1"/>
  <c r="C36" i="8" l="1"/>
  <c r="B4" i="9"/>
  <c r="B5" i="9" s="1"/>
  <c r="K30" i="5"/>
  <c r="K70" i="5"/>
  <c r="K71" i="5" s="1"/>
  <c r="K32" i="6"/>
  <c r="K59" i="6" s="1"/>
  <c r="K30" i="6"/>
  <c r="K70" i="6"/>
  <c r="K71" i="6" s="1"/>
  <c r="K105" i="6"/>
  <c r="K52" i="5"/>
  <c r="K56" i="5" s="1"/>
  <c r="K61" i="5" s="1"/>
  <c r="K52" i="4"/>
  <c r="K56" i="4" s="1"/>
  <c r="K61" i="4" s="1"/>
  <c r="K52" i="3"/>
  <c r="K52" i="6"/>
  <c r="K56" i="6" s="1"/>
  <c r="K61" i="6" s="1"/>
  <c r="K70" i="4"/>
  <c r="K71" i="4" s="1"/>
  <c r="K31" i="5"/>
  <c r="J69" i="5"/>
  <c r="K31" i="4"/>
  <c r="K32" i="5"/>
  <c r="K59" i="5" s="1"/>
  <c r="K32" i="4"/>
  <c r="K59" i="4" s="1"/>
  <c r="K97" i="6"/>
  <c r="K97" i="5"/>
  <c r="K115" i="6"/>
  <c r="K115" i="5"/>
  <c r="K115" i="4"/>
  <c r="K115" i="3"/>
  <c r="K35" i="6"/>
  <c r="K44" i="6" s="1"/>
  <c r="K35" i="5"/>
  <c r="K97" i="3"/>
  <c r="K97" i="4"/>
  <c r="J69" i="3"/>
  <c r="I36" i="1"/>
  <c r="K47" i="3" s="1"/>
  <c r="K56" i="3" s="1"/>
  <c r="K61" i="3" s="1"/>
  <c r="K105" i="3"/>
  <c r="K70" i="3"/>
  <c r="K71" i="3" s="1"/>
  <c r="K30" i="3"/>
  <c r="K31" i="3"/>
  <c r="K32" i="3"/>
  <c r="K59" i="3" s="1"/>
  <c r="N97" i="3"/>
  <c r="M97" i="3"/>
  <c r="S97" i="3"/>
  <c r="K35" i="4" l="1"/>
  <c r="K40" i="4" s="1"/>
  <c r="K39" i="6"/>
  <c r="K42" i="6"/>
  <c r="K40" i="6"/>
  <c r="K37" i="6"/>
  <c r="K43" i="6"/>
  <c r="K38" i="6"/>
  <c r="K41" i="6"/>
  <c r="K65" i="6"/>
  <c r="K68" i="6" s="1"/>
  <c r="K67" i="6"/>
  <c r="K66" i="6"/>
  <c r="K44" i="5"/>
  <c r="K41" i="5"/>
  <c r="K43" i="5"/>
  <c r="K40" i="5"/>
  <c r="K39" i="5"/>
  <c r="K38" i="5"/>
  <c r="K65" i="5"/>
  <c r="K37" i="5"/>
  <c r="K42" i="5"/>
  <c r="K43" i="4"/>
  <c r="K65" i="4"/>
  <c r="K37" i="4"/>
  <c r="K35" i="3"/>
  <c r="K42" i="3" s="1"/>
  <c r="L97" i="3"/>
  <c r="K41" i="4" l="1"/>
  <c r="K42" i="4"/>
  <c r="K36" i="6"/>
  <c r="K60" i="6" s="1"/>
  <c r="K62" i="6" s="1"/>
  <c r="K38" i="4"/>
  <c r="K44" i="4"/>
  <c r="K69" i="6"/>
  <c r="K72" i="6" s="1"/>
  <c r="K107" i="6" s="1"/>
  <c r="K39" i="4"/>
  <c r="K36" i="5"/>
  <c r="K69" i="5"/>
  <c r="K66" i="5"/>
  <c r="K68" i="5"/>
  <c r="K67" i="5"/>
  <c r="K69" i="4"/>
  <c r="K67" i="4"/>
  <c r="K66" i="4"/>
  <c r="K68" i="4"/>
  <c r="K44" i="3"/>
  <c r="K40" i="3"/>
  <c r="K65" i="3"/>
  <c r="K66" i="3" s="1"/>
  <c r="K41" i="3"/>
  <c r="K38" i="3"/>
  <c r="K39" i="3"/>
  <c r="K37" i="3"/>
  <c r="K43" i="3"/>
  <c r="K36" i="4" l="1"/>
  <c r="K60" i="4" s="1"/>
  <c r="K62" i="4" s="1"/>
  <c r="K106" i="4" s="1"/>
  <c r="K76" i="4"/>
  <c r="K77" i="4" s="1"/>
  <c r="K76" i="6"/>
  <c r="K77" i="6" s="1"/>
  <c r="K106" i="6"/>
  <c r="K78" i="6"/>
  <c r="K72" i="5"/>
  <c r="K107" i="5" s="1"/>
  <c r="K60" i="5"/>
  <c r="K62" i="5" s="1"/>
  <c r="K76" i="5"/>
  <c r="K77" i="5" s="1"/>
  <c r="K72" i="4"/>
  <c r="K107" i="4" s="1"/>
  <c r="K68" i="3"/>
  <c r="K67" i="3"/>
  <c r="K69" i="3"/>
  <c r="K36" i="3"/>
  <c r="K76" i="3" s="1"/>
  <c r="K77" i="3" s="1"/>
  <c r="K83" i="6" l="1"/>
  <c r="K80" i="6"/>
  <c r="K84" i="6"/>
  <c r="K81" i="6"/>
  <c r="K82" i="6"/>
  <c r="K79" i="6"/>
  <c r="K106" i="5"/>
  <c r="K78" i="5"/>
  <c r="K78" i="4"/>
  <c r="K72" i="3"/>
  <c r="K107" i="3" s="1"/>
  <c r="K60" i="3"/>
  <c r="K62" i="3" s="1"/>
  <c r="K85" i="6" l="1"/>
  <c r="K92" i="6" s="1"/>
  <c r="K94" i="6" s="1"/>
  <c r="K108" i="6" s="1"/>
  <c r="K83" i="5"/>
  <c r="K80" i="5"/>
  <c r="K82" i="5"/>
  <c r="K79" i="5"/>
  <c r="K84" i="5"/>
  <c r="K81" i="5"/>
  <c r="K83" i="4"/>
  <c r="K80" i="4"/>
  <c r="K82" i="4"/>
  <c r="K79" i="4"/>
  <c r="K84" i="4"/>
  <c r="K81" i="4"/>
  <c r="K78" i="3"/>
  <c r="K106" i="3"/>
  <c r="K98" i="6" l="1"/>
  <c r="K101" i="6" s="1"/>
  <c r="K109" i="6" s="1"/>
  <c r="K110" i="6" s="1"/>
  <c r="K113" i="6" s="1"/>
  <c r="K85" i="5"/>
  <c r="K92" i="5" s="1"/>
  <c r="K94" i="5" s="1"/>
  <c r="K108" i="5" s="1"/>
  <c r="K85" i="4"/>
  <c r="K92" i="4" s="1"/>
  <c r="K94" i="4" s="1"/>
  <c r="K108" i="4" s="1"/>
  <c r="K82" i="3"/>
  <c r="K81" i="3"/>
  <c r="K84" i="3"/>
  <c r="K79" i="3"/>
  <c r="K80" i="3"/>
  <c r="K83" i="3"/>
  <c r="K114" i="6" l="1"/>
  <c r="K98" i="5"/>
  <c r="K101" i="5" s="1"/>
  <c r="K109" i="5" s="1"/>
  <c r="K110" i="5" s="1"/>
  <c r="K98" i="4"/>
  <c r="K101" i="4" s="1"/>
  <c r="K109" i="4" s="1"/>
  <c r="K110" i="4" s="1"/>
  <c r="K85" i="3"/>
  <c r="K92" i="3" s="1"/>
  <c r="K94" i="3" s="1"/>
  <c r="K119" i="6" l="1"/>
  <c r="K113" i="5"/>
  <c r="K114" i="5" s="1"/>
  <c r="K113" i="4"/>
  <c r="K114" i="4" s="1"/>
  <c r="K119" i="4" s="1"/>
  <c r="K108" i="3"/>
  <c r="K116" i="4" l="1"/>
  <c r="K117" i="4" s="1"/>
  <c r="B3" i="7"/>
  <c r="C3" i="7" s="1"/>
  <c r="K116" i="6"/>
  <c r="K117" i="6" s="1"/>
  <c r="B5" i="7"/>
  <c r="K119" i="5"/>
  <c r="K98" i="3"/>
  <c r="K101" i="3" s="1"/>
  <c r="K109" i="3" s="1"/>
  <c r="K110" i="3" s="1"/>
  <c r="K116" i="5" l="1"/>
  <c r="K117" i="5" s="1"/>
  <c r="B4" i="7"/>
  <c r="C4" i="7" s="1"/>
  <c r="C5" i="7"/>
  <c r="K113" i="3"/>
  <c r="K114" i="3" s="1"/>
  <c r="K119" i="3" s="1"/>
  <c r="K116" i="3" l="1"/>
  <c r="K117" i="3" s="1"/>
  <c r="B2" i="7"/>
  <c r="C2" i="7" l="1"/>
  <c r="B6" i="7"/>
  <c r="C6" i="7" s="1"/>
  <c r="B9" i="7" s="1"/>
  <c r="B13" i="7" l="1"/>
  <c r="B14" i="7" s="1"/>
  <c r="E9" i="7"/>
  <c r="B16" i="7" l="1"/>
  <c r="E10" i="7" s="1"/>
  <c r="E11" i="7" s="1"/>
  <c r="B18" i="7"/>
  <c r="B20" i="7" s="1"/>
  <c r="E15" i="7" l="1"/>
  <c r="E13" i="7"/>
  <c r="E17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Fabiana Campos da Costa</author>
  </authors>
  <commentList>
    <comment ref="G73" authorId="0" shapeId="0" xr:uid="{C23710AC-F0F1-452D-86DC-EF64AADBFD7E}">
      <text>
        <r>
          <rPr>
            <b/>
            <sz val="9"/>
            <color indexed="81"/>
            <rFont val="Segoe UI"/>
            <family val="2"/>
          </rPr>
          <t xml:space="preserve">Lançamento conforme Caderno de Logística Seges para Conta Vinculada: 1/11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74" authorId="0" shapeId="0" xr:uid="{1E51DA23-B35C-4276-B0D8-3CB3E075D941}">
      <text>
        <r>
          <rPr>
            <sz val="6"/>
            <color indexed="81"/>
            <rFont val="Segoe UI"/>
            <family val="2"/>
          </rPr>
          <t xml:space="preserve">Jurisprudência TCU –
Acórdão nº 1753/2008 – Plenário
B4. Faltas legais
54. São compostas por um conjunto de casos em que o funcionário pode faltar por determinadas razões, com amparo legal, e a contratada deve repor essa mão de obra. Pela lei,
cada funcionário tem direito a faltar: 2 (dois) dias em caso de morte do cônjuge, ascendente ou descendente; 1 (um) dia para registro de nascimento de filho; 3 (três) dias para
casamento; 1 (um) dia para doação de sangue; 2 (dois) dias para alistamento eleitoral;
e 1 (um) dia para exigências do serviço militar; entre outros. O MP informou que há em média 2,96 faltas por ano nessa rubrica.
Fundamentação: arts. 473 e 83 da CLT.  
</t>
        </r>
      </text>
    </comment>
    <comment ref="H76" authorId="0" shapeId="0" xr:uid="{54B57877-25ED-49AE-9298-361D5FC55C3B}">
      <text>
        <r>
          <rPr>
            <sz val="7"/>
            <color indexed="81"/>
            <rFont val="Segoe UI"/>
            <family val="2"/>
          </rPr>
          <t xml:space="preserve">Jurisprudência TCU
Acórdão nº 1753/2008 – Plenário
B3. Licença-paternidade/maternidade
53. Essa licença é de 5 (cinco) dias corridos iniciados no dia do nascimento do filho. O MP
informou que considera uma taxa de fecundidade de 6,24%, e que o setor de vigilância
tem uma participação masculina de 95,04%, o que resulta em uma provisão mensal de
0,08% para arcar com esses custos. </t>
        </r>
        <r>
          <rPr>
            <sz val="8"/>
            <color indexed="81"/>
            <rFont val="Segoe UI"/>
            <family val="2"/>
          </rPr>
          <t xml:space="preserve">
Fundamentação: art. 7º, inciso XIX, da Constituição Federal.</t>
        </r>
      </text>
    </comment>
    <comment ref="E77" authorId="0" shapeId="0" xr:uid="{ABD3AC49-3E9E-478E-8264-B142EAB10F71}">
      <text>
        <r>
          <rPr>
            <sz val="7"/>
            <color indexed="81"/>
            <rFont val="Segoe UI"/>
            <family val="2"/>
          </rPr>
          <t>Jurisprudência TCU
Acórdão nº 1753/2008 – Plenário
B5. Acidente de trabalho
55.</t>
        </r>
        <r>
          <rPr>
            <sz val="6"/>
            <color indexed="81"/>
            <rFont val="Segoe UI"/>
            <family val="2"/>
          </rPr>
          <t>É referente aos 15 primeiros dias em que o empregado não pode exercer suas atividades devido a algum acidente no trabalho e a contratada deve remunerá-lo. Após esse período, a Previdência Social assume esse ônus. O MP informou que considera que cada empregado falt</t>
        </r>
        <r>
          <rPr>
            <sz val="7"/>
            <color indexed="81"/>
            <rFont val="Segoe UI"/>
            <family val="2"/>
          </rPr>
          <t>a 0,91</t>
        </r>
        <r>
          <rPr>
            <sz val="6"/>
            <color indexed="81"/>
            <rFont val="Segoe UI"/>
            <family val="2"/>
          </rPr>
          <t xml:space="preserve"> em decorrência do fato.
Fundamentação: Lei nº 6.367/76 e art. 473 da CLT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Fabiana Campos da Costa</author>
    <author/>
  </authors>
  <commentList>
    <comment ref="J31" authorId="0" shapeId="0" xr:uid="{D3BD8C35-60F2-4CC7-963A-B099D67D6745}">
      <text>
        <r>
          <rPr>
            <sz val="9"/>
            <color indexed="81"/>
            <rFont val="Segoe UI"/>
            <family val="2"/>
          </rPr>
          <t xml:space="preserve">Conforme Caderno de Logística Seges - lançamento para Conta Vinculada =
(1/11*1/3)*100
</t>
        </r>
      </text>
    </comment>
    <comment ref="J77" authorId="0" shapeId="0" xr:uid="{052210E4-72A4-41CF-8A97-D108991287AF}">
      <text>
        <r>
          <rPr>
            <b/>
            <sz val="9"/>
            <color indexed="81"/>
            <rFont val="Segoe UI"/>
            <family val="2"/>
          </rPr>
          <t>Lançamento conforme Caderno Seges para Conta Vinculada</t>
        </r>
      </text>
    </comment>
    <comment ref="K113" authorId="1" shapeId="0" xr:uid="{DFDBF566-7091-4E1E-8C88-DFA9EA2B0E4B}">
      <text>
        <r>
          <rPr>
            <b/>
            <sz val="9"/>
            <color rgb="FF000000"/>
            <rFont val="Arial"/>
            <family val="2"/>
            <charset val="1"/>
          </rPr>
          <t xml:space="preserve">Henrique Aoki:
</t>
        </r>
        <r>
          <rPr>
            <sz val="9"/>
            <color rgb="FF000000"/>
            <rFont val="Arial"/>
            <family val="2"/>
            <charset val="1"/>
          </rPr>
          <t xml:space="preserve">=Custo direto * Percentual atribuído a Custo indireto?despesa administrativa
</t>
        </r>
      </text>
    </comment>
    <comment ref="K114" authorId="1" shapeId="0" xr:uid="{7494089B-E9AB-4F68-AD20-51838C00842C}">
      <text>
        <r>
          <rPr>
            <b/>
            <sz val="9"/>
            <color rgb="FF000000"/>
            <rFont val="Arial"/>
            <family val="2"/>
            <charset val="1"/>
          </rPr>
          <t xml:space="preserve">Henrique Aoki:
</t>
        </r>
        <r>
          <rPr>
            <sz val="9"/>
            <color rgb="FF000000"/>
            <rFont val="Arial"/>
            <family val="2"/>
            <charset val="1"/>
          </rPr>
          <t xml:space="preserve">= (Custo direto + Vr do custo indireto/despesa administrativa) * % atribuído a lucro
</t>
        </r>
      </text>
    </comment>
    <comment ref="K116" authorId="1" shapeId="0" xr:uid="{278EB1A1-28F7-4B2B-942F-62782F36B481}">
      <text>
        <r>
          <rPr>
            <b/>
            <sz val="9"/>
            <color rgb="FF000000"/>
            <rFont val="Arial"/>
            <family val="2"/>
            <charset val="1"/>
          </rPr>
          <t xml:space="preserve">Henrique Aoki:
</t>
        </r>
        <r>
          <rPr>
            <sz val="9"/>
            <color rgb="FF000000"/>
            <rFont val="Arial"/>
            <family val="2"/>
            <charset val="1"/>
          </rPr>
          <t xml:space="preserve">Valor dos tributos = Preço * % de tributos
</t>
        </r>
      </text>
    </comment>
    <comment ref="K117" authorId="1" shapeId="0" xr:uid="{75A2E664-D37E-4266-AE7E-A88515D0C4CF}">
      <text>
        <r>
          <rPr>
            <b/>
            <sz val="9"/>
            <color rgb="FF000000"/>
            <rFont val="Arial"/>
            <family val="2"/>
            <charset val="1"/>
          </rPr>
          <t xml:space="preserve">Henrique Aoki:
</t>
        </r>
        <r>
          <rPr>
            <sz val="9"/>
            <color rgb="FF000000"/>
            <rFont val="Arial"/>
            <family val="2"/>
            <charset val="1"/>
          </rPr>
          <t xml:space="preserve">= soma de custo indireto/despesa administrativa, lucros e tributos
</t>
        </r>
      </text>
    </comment>
    <comment ref="K119" authorId="1" shapeId="0" xr:uid="{50095630-4DFD-43D3-A28F-D542864F6070}">
      <text>
        <r>
          <rPr>
            <b/>
            <sz val="9"/>
            <color rgb="FF000000"/>
            <rFont val="Arial"/>
            <family val="2"/>
            <charset val="1"/>
          </rPr>
          <t xml:space="preserve">Henrique Aoki:
</t>
        </r>
        <r>
          <rPr>
            <sz val="9"/>
            <color rgb="FF000000"/>
            <rFont val="Arial"/>
            <family val="2"/>
            <charset val="1"/>
          </rPr>
          <t xml:space="preserve">= (Custo direto + custo indireto + Lucro) / (1-% T)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113" authorId="0" shapeId="0" xr:uid="{0B0DD2B0-4B87-456F-A31E-8A424A49D92C}">
      <text>
        <r>
          <rPr>
            <b/>
            <sz val="9"/>
            <color rgb="FF000000"/>
            <rFont val="Arial"/>
            <family val="2"/>
            <charset val="1"/>
          </rPr>
          <t xml:space="preserve">Henrique Aoki:
</t>
        </r>
        <r>
          <rPr>
            <sz val="9"/>
            <color rgb="FF000000"/>
            <rFont val="Arial"/>
            <family val="2"/>
            <charset val="1"/>
          </rPr>
          <t xml:space="preserve">=Custo direto * Percentual atribuído a Custo indireto?despesa administrativa
</t>
        </r>
      </text>
    </comment>
    <comment ref="K114" authorId="0" shapeId="0" xr:uid="{223CE813-CB50-4675-BF1E-A9ACC8E84FC6}">
      <text>
        <r>
          <rPr>
            <b/>
            <sz val="9"/>
            <color rgb="FF000000"/>
            <rFont val="Arial"/>
            <family val="2"/>
            <charset val="1"/>
          </rPr>
          <t xml:space="preserve">Henrique Aoki:
</t>
        </r>
        <r>
          <rPr>
            <sz val="9"/>
            <color rgb="FF000000"/>
            <rFont val="Arial"/>
            <family val="2"/>
            <charset val="1"/>
          </rPr>
          <t xml:space="preserve">= (Custo direto + Vr do custo indireto/despesa administrativa) * % atribuído a lucro
</t>
        </r>
      </text>
    </comment>
    <comment ref="K116" authorId="0" shapeId="0" xr:uid="{F84E2FF8-06A5-49E2-AB8A-EF32296C3E1C}">
      <text>
        <r>
          <rPr>
            <b/>
            <sz val="9"/>
            <color rgb="FF000000"/>
            <rFont val="Arial"/>
            <family val="2"/>
            <charset val="1"/>
          </rPr>
          <t xml:space="preserve">Henrique Aoki:
</t>
        </r>
        <r>
          <rPr>
            <sz val="9"/>
            <color rgb="FF000000"/>
            <rFont val="Arial"/>
            <family val="2"/>
            <charset val="1"/>
          </rPr>
          <t xml:space="preserve">Valor dos tributos = Preço * % de tributos
</t>
        </r>
      </text>
    </comment>
    <comment ref="K117" authorId="0" shapeId="0" xr:uid="{8A7B83CB-5AAD-4462-A5D7-779FC186942F}">
      <text>
        <r>
          <rPr>
            <b/>
            <sz val="9"/>
            <color rgb="FF000000"/>
            <rFont val="Arial"/>
            <family val="2"/>
            <charset val="1"/>
          </rPr>
          <t xml:space="preserve">Henrique Aoki:
</t>
        </r>
        <r>
          <rPr>
            <sz val="9"/>
            <color rgb="FF000000"/>
            <rFont val="Arial"/>
            <family val="2"/>
            <charset val="1"/>
          </rPr>
          <t xml:space="preserve">= soma de custo indireto/despesa administrativa, lucros e tributos
</t>
        </r>
      </text>
    </comment>
    <comment ref="K119" authorId="0" shapeId="0" xr:uid="{E41B8561-D1C2-44B9-828D-CE0BF5875ED2}">
      <text>
        <r>
          <rPr>
            <b/>
            <sz val="9"/>
            <color rgb="FF000000"/>
            <rFont val="Arial"/>
            <family val="2"/>
            <charset val="1"/>
          </rPr>
          <t xml:space="preserve">Henrique Aoki:
</t>
        </r>
        <r>
          <rPr>
            <sz val="9"/>
            <color rgb="FF000000"/>
            <rFont val="Arial"/>
            <family val="2"/>
            <charset val="1"/>
          </rPr>
          <t xml:space="preserve">= (Custo direto + custo indireto + Lucro) / (1-% T)
</t>
        </r>
      </text>
    </comment>
    <comment ref="K120" authorId="0" shapeId="0" xr:uid="{2408C953-EEDE-484F-975D-B3F61A0BE8AF}">
      <text>
        <r>
          <rPr>
            <b/>
            <sz val="9"/>
            <color rgb="FF000000"/>
            <rFont val="Arial"/>
            <family val="2"/>
            <charset val="1"/>
          </rPr>
          <t xml:space="preserve">Henrique Aoki:
</t>
        </r>
        <r>
          <rPr>
            <sz val="9"/>
            <color rgb="FF000000"/>
            <rFont val="Arial"/>
            <family val="2"/>
            <charset val="1"/>
          </rPr>
          <t xml:space="preserve">= (Custo direto + custo indireto + Lucro) / (1-% T)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113" authorId="0" shapeId="0" xr:uid="{4EF2B492-2297-449F-8944-9334AF3F1BC9}">
      <text>
        <r>
          <rPr>
            <b/>
            <sz val="9"/>
            <color rgb="FF000000"/>
            <rFont val="Arial"/>
            <family val="2"/>
            <charset val="1"/>
          </rPr>
          <t xml:space="preserve">Henrique Aoki:
</t>
        </r>
        <r>
          <rPr>
            <sz val="9"/>
            <color rgb="FF000000"/>
            <rFont val="Arial"/>
            <family val="2"/>
            <charset val="1"/>
          </rPr>
          <t xml:space="preserve">=Custo direto * Percentual atribuído a Custo indireto?despesa administrativa
</t>
        </r>
      </text>
    </comment>
    <comment ref="K114" authorId="0" shapeId="0" xr:uid="{03900080-3B71-4B89-9F9D-EBBC9C2C9F73}">
      <text>
        <r>
          <rPr>
            <b/>
            <sz val="9"/>
            <color rgb="FF000000"/>
            <rFont val="Arial"/>
            <family val="2"/>
            <charset val="1"/>
          </rPr>
          <t xml:space="preserve">Henrique Aoki:
</t>
        </r>
        <r>
          <rPr>
            <sz val="9"/>
            <color rgb="FF000000"/>
            <rFont val="Arial"/>
            <family val="2"/>
            <charset val="1"/>
          </rPr>
          <t xml:space="preserve">= (Custo direto + Vr do custo indireto/despesa administrativa) * % atribuído a lucro
</t>
        </r>
      </text>
    </comment>
    <comment ref="K116" authorId="0" shapeId="0" xr:uid="{4203DCE8-B272-4F99-B6FF-A7890B8D7359}">
      <text>
        <r>
          <rPr>
            <b/>
            <sz val="9"/>
            <color rgb="FF000000"/>
            <rFont val="Arial"/>
            <family val="2"/>
            <charset val="1"/>
          </rPr>
          <t xml:space="preserve">Henrique Aoki:
</t>
        </r>
        <r>
          <rPr>
            <sz val="9"/>
            <color rgb="FF000000"/>
            <rFont val="Arial"/>
            <family val="2"/>
            <charset val="1"/>
          </rPr>
          <t xml:space="preserve">Valor dos tributos = Preço * % de tributos
</t>
        </r>
      </text>
    </comment>
    <comment ref="K117" authorId="0" shapeId="0" xr:uid="{E2EABC25-556D-4615-8E48-790B424B214E}">
      <text>
        <r>
          <rPr>
            <b/>
            <sz val="9"/>
            <color rgb="FF000000"/>
            <rFont val="Arial"/>
            <family val="2"/>
            <charset val="1"/>
          </rPr>
          <t xml:space="preserve">Henrique Aoki:
</t>
        </r>
        <r>
          <rPr>
            <sz val="9"/>
            <color rgb="FF000000"/>
            <rFont val="Arial"/>
            <family val="2"/>
            <charset val="1"/>
          </rPr>
          <t xml:space="preserve">= soma de custo indireto/despesa administrativa, lucros e tributos
</t>
        </r>
      </text>
    </comment>
    <comment ref="K119" authorId="0" shapeId="0" xr:uid="{9AECD991-80A1-4A7C-B64D-D220F7179142}">
      <text>
        <r>
          <rPr>
            <b/>
            <sz val="9"/>
            <color rgb="FF000000"/>
            <rFont val="Arial"/>
            <family val="2"/>
            <charset val="1"/>
          </rPr>
          <t xml:space="preserve">Henrique Aoki:
</t>
        </r>
        <r>
          <rPr>
            <sz val="9"/>
            <color rgb="FF000000"/>
            <rFont val="Arial"/>
            <family val="2"/>
            <charset val="1"/>
          </rPr>
          <t xml:space="preserve">= (Custo direto + custo indireto + Lucro) / (1-% T)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113" authorId="0" shapeId="0" xr:uid="{035D1EAD-22A9-4A18-B9E0-E9FCC9100C49}">
      <text>
        <r>
          <rPr>
            <b/>
            <sz val="9"/>
            <color rgb="FF000000"/>
            <rFont val="Arial"/>
            <family val="2"/>
            <charset val="1"/>
          </rPr>
          <t xml:space="preserve">Henrique Aoki:
</t>
        </r>
        <r>
          <rPr>
            <sz val="9"/>
            <color rgb="FF000000"/>
            <rFont val="Arial"/>
            <family val="2"/>
            <charset val="1"/>
          </rPr>
          <t xml:space="preserve">=Custo direto * Percentual atribuído a Custo indireto?despesa administrativa
</t>
        </r>
      </text>
    </comment>
    <comment ref="K114" authorId="0" shapeId="0" xr:uid="{FC589DE7-B4EB-44F2-9D26-2C915BF71A65}">
      <text>
        <r>
          <rPr>
            <b/>
            <sz val="9"/>
            <color rgb="FF000000"/>
            <rFont val="Arial"/>
            <family val="2"/>
            <charset val="1"/>
          </rPr>
          <t xml:space="preserve">Henrique Aoki:
</t>
        </r>
        <r>
          <rPr>
            <sz val="9"/>
            <color rgb="FF000000"/>
            <rFont val="Arial"/>
            <family val="2"/>
            <charset val="1"/>
          </rPr>
          <t xml:space="preserve">= (Custo direto + Vr do custo indireto/despesa administrativa) * % atribuído a lucro
</t>
        </r>
      </text>
    </comment>
    <comment ref="K116" authorId="0" shapeId="0" xr:uid="{140876A9-2472-4189-8BBE-A97C19CDBDB8}">
      <text>
        <r>
          <rPr>
            <b/>
            <sz val="9"/>
            <color rgb="FF000000"/>
            <rFont val="Arial"/>
            <family val="2"/>
            <charset val="1"/>
          </rPr>
          <t xml:space="preserve">Henrique Aoki:
</t>
        </r>
        <r>
          <rPr>
            <sz val="9"/>
            <color rgb="FF000000"/>
            <rFont val="Arial"/>
            <family val="2"/>
            <charset val="1"/>
          </rPr>
          <t xml:space="preserve">Valor dos tributos = Preço * % de tributos
</t>
        </r>
      </text>
    </comment>
    <comment ref="K117" authorId="0" shapeId="0" xr:uid="{A4E66CA6-39D5-41EF-8DDD-0C75196B74A7}">
      <text>
        <r>
          <rPr>
            <b/>
            <sz val="9"/>
            <color rgb="FF000000"/>
            <rFont val="Arial"/>
            <family val="2"/>
            <charset val="1"/>
          </rPr>
          <t xml:space="preserve">Henrique Aoki:
</t>
        </r>
        <r>
          <rPr>
            <sz val="9"/>
            <color rgb="FF000000"/>
            <rFont val="Arial"/>
            <family val="2"/>
            <charset val="1"/>
          </rPr>
          <t xml:space="preserve">= soma de custo indireto/despesa administrativa, lucros e tributos
</t>
        </r>
      </text>
    </comment>
    <comment ref="K119" authorId="0" shapeId="0" xr:uid="{C301DADC-715E-4A71-9E02-5A4F38FC5C61}">
      <text>
        <r>
          <rPr>
            <b/>
            <sz val="9"/>
            <color rgb="FF000000"/>
            <rFont val="Arial"/>
            <family val="2"/>
            <charset val="1"/>
          </rPr>
          <t xml:space="preserve">Henrique Aoki:
</t>
        </r>
        <r>
          <rPr>
            <sz val="9"/>
            <color rgb="FF000000"/>
            <rFont val="Arial"/>
            <family val="2"/>
            <charset val="1"/>
          </rPr>
          <t xml:space="preserve">= (Custo direto + custo indireto + Lucro) / (1-% T)
</t>
        </r>
      </text>
    </comment>
    <comment ref="K120" authorId="0" shapeId="0" xr:uid="{B0BA57EE-C108-4B92-8952-DFD9A2829251}">
      <text>
        <r>
          <rPr>
            <b/>
            <sz val="9"/>
            <color rgb="FF000000"/>
            <rFont val="Arial"/>
            <family val="2"/>
            <charset val="1"/>
          </rPr>
          <t xml:space="preserve">Henrique Aoki:
</t>
        </r>
        <r>
          <rPr>
            <sz val="9"/>
            <color rgb="FF000000"/>
            <rFont val="Arial"/>
            <family val="2"/>
            <charset val="1"/>
          </rPr>
          <t xml:space="preserve">= (Custo direto + custo indireto + Lucro) / (1-% T)
</t>
        </r>
      </text>
    </comment>
  </commentList>
</comments>
</file>

<file path=xl/sharedStrings.xml><?xml version="1.0" encoding="utf-8"?>
<sst xmlns="http://schemas.openxmlformats.org/spreadsheetml/2006/main" count="988" uniqueCount="347">
  <si>
    <t>Objeto:</t>
  </si>
  <si>
    <t>Número do Processo:</t>
  </si>
  <si>
    <t>Número da Licitação:</t>
  </si>
  <si>
    <t>Data do Pregão:</t>
  </si>
  <si>
    <t>Horário:</t>
  </si>
  <si>
    <t>Número de meses de execução contratual:</t>
  </si>
  <si>
    <t>Unidade de medida</t>
  </si>
  <si>
    <t>Categoria profissional (vinculada a execução contratual)</t>
  </si>
  <si>
    <t>Data base da categoria</t>
  </si>
  <si>
    <t>Salario Mínimo Nacional</t>
  </si>
  <si>
    <t>SAT/GIIL-RAT:</t>
  </si>
  <si>
    <t>FAP:</t>
  </si>
  <si>
    <t xml:space="preserve">Custos Indiretos / Despesas Administrativas: </t>
  </si>
  <si>
    <t xml:space="preserve">Lucro: </t>
  </si>
  <si>
    <t>Regime Tributário
(Selecione)</t>
  </si>
  <si>
    <t>Lucro Presumido</t>
  </si>
  <si>
    <t>Tributos</t>
  </si>
  <si>
    <t>Alíquota</t>
  </si>
  <si>
    <t>Tributos Federais</t>
  </si>
  <si>
    <t>PIS:</t>
  </si>
  <si>
    <t>COFINS:</t>
  </si>
  <si>
    <t>Tributos Municipais (ISS)</t>
  </si>
  <si>
    <t>Total de Tributos</t>
  </si>
  <si>
    <t>SUBMODULO 2.3</t>
  </si>
  <si>
    <t>Vale Transporte</t>
  </si>
  <si>
    <t>Localidade</t>
  </si>
  <si>
    <t>Valor de um bilhete</t>
  </si>
  <si>
    <t>Bilhetes por dia</t>
  </si>
  <si>
    <t>Dias úteis/mês</t>
  </si>
  <si>
    <t>Custo Total</t>
  </si>
  <si>
    <t>Participação máxima dos empregados (6% sobre o salario base)</t>
  </si>
  <si>
    <t>Função</t>
  </si>
  <si>
    <t>Participação do empregado</t>
  </si>
  <si>
    <t>Tíquete Refeição ou Auxílio Alimentação</t>
  </si>
  <si>
    <t>Valor por dia
(A)</t>
  </si>
  <si>
    <t>Desconto do empregado
(B)</t>
  </si>
  <si>
    <t xml:space="preserve">Dias úteis no mês
(C) </t>
  </si>
  <si>
    <t>Custo mensal do empregador [(A - B) x C]</t>
  </si>
  <si>
    <t>Assistência à Saúde Médica e Odontológica</t>
  </si>
  <si>
    <t>Valor Mensal
(A)</t>
  </si>
  <si>
    <t>Custo Mensal do empregador (A - B)</t>
  </si>
  <si>
    <t>Cesta Básica</t>
  </si>
  <si>
    <t>Auxilio Creche</t>
  </si>
  <si>
    <t>Valor mensal por empregada mãe
(A)</t>
  </si>
  <si>
    <t>% de empregadas mães
(B)</t>
  </si>
  <si>
    <t>Custo Mensal
(A x B)</t>
  </si>
  <si>
    <t>Seguro de Vida</t>
  </si>
  <si>
    <t>Valor anual
(A)</t>
  </si>
  <si>
    <t>Valor mensal
(B = A/12)</t>
  </si>
  <si>
    <t>Contrib. mensal máx. do empregado (C = 10% de B)</t>
  </si>
  <si>
    <t>Custo mensal do empregador (B - C)</t>
  </si>
  <si>
    <t>Beneficio Social Sindical</t>
  </si>
  <si>
    <t>Beneficio Natalidade</t>
  </si>
  <si>
    <t>Outros (especificar)</t>
  </si>
  <si>
    <t>MÓDULO 3 - PROVISÃO PARA RESCISÃO</t>
  </si>
  <si>
    <t>PERCENTUAL DE OCORRÊNCIA DO AVISO PRÉVIO INDENIZADO</t>
  </si>
  <si>
    <t>SUBMODULO 4.1- Ausências Legais</t>
  </si>
  <si>
    <t>A</t>
  </si>
  <si>
    <t>Férias</t>
  </si>
  <si>
    <t>%</t>
  </si>
  <si>
    <t>B</t>
  </si>
  <si>
    <t>Ausências Legais</t>
  </si>
  <si>
    <t>Dias de ausência por ano</t>
  </si>
  <si>
    <t>Percentual de ocorrência</t>
  </si>
  <si>
    <t>C</t>
  </si>
  <si>
    <t>Auxilio Doença</t>
  </si>
  <si>
    <t>D</t>
  </si>
  <si>
    <t>Licença paternidade</t>
  </si>
  <si>
    <t>E</t>
  </si>
  <si>
    <t>Ausência por acidente do trabalho</t>
  </si>
  <si>
    <t>F</t>
  </si>
  <si>
    <t>Afastamento Maternidade</t>
  </si>
  <si>
    <t>G</t>
  </si>
  <si>
    <t>MÓDULO 5, item B - Equipamentos e Materiais (custo mensal por empregado)</t>
  </si>
  <si>
    <t>UNIFORMES para cada funcionário</t>
  </si>
  <si>
    <t>ITEM</t>
  </si>
  <si>
    <t>CUSTO UNITÁRIO (R$) [1]</t>
  </si>
  <si>
    <t>VIDA ÚTIL (MESES) [2]</t>
  </si>
  <si>
    <t>QTD [3]</t>
  </si>
  <si>
    <t>CUSTO MENSAL (R$) [4] [4]=[1]*[3]/[2]</t>
  </si>
  <si>
    <t>Camiseta de algodão, manga curta com a logomarca da empresa contratada</t>
  </si>
  <si>
    <t>Par de meias de algodão</t>
  </si>
  <si>
    <t>EPIs para cada funcionário</t>
  </si>
  <si>
    <t>ancora_uniformes</t>
  </si>
  <si>
    <t>Custo Total Mensal</t>
  </si>
  <si>
    <t>PLANILHA DE CUSTO E FORMAÇÃO DE PREÇOS</t>
  </si>
  <si>
    <t>Descrição do Serviço:</t>
  </si>
  <si>
    <t>►</t>
  </si>
  <si>
    <t>Município(s)/locais da prestação de serviço</t>
  </si>
  <si>
    <t>DADOS COMPLEMENTARES PARA COMPOSIÇÃO DOS CUSTOS REFERENTE À MÃO-DE-OBRA</t>
  </si>
  <si>
    <t>Salário Normativo da Categoria Profissional:</t>
  </si>
  <si>
    <t>Código Brasileiro de Ocupações - CBO</t>
  </si>
  <si>
    <t>MÓDULO 01 – Composição da Remuneração</t>
  </si>
  <si>
    <t>Salário Base</t>
  </si>
  <si>
    <t>Adicional de Periculosidade</t>
  </si>
  <si>
    <t>CLT art. 193 e seguintes; CF art. 7º XXIII</t>
  </si>
  <si>
    <t>Adicional de 30%</t>
  </si>
  <si>
    <t>Adicional Noturno</t>
  </si>
  <si>
    <t>Adicional de Hora Noturna reduzida</t>
  </si>
  <si>
    <t>Adicional de hora extra no feriado</t>
  </si>
  <si>
    <t>VALOR DA REMUNERAÇÃO</t>
  </si>
  <si>
    <t>Módulo 2 – Encargos e benefícios anuais, mensais e diários</t>
  </si>
  <si>
    <r>
      <rPr>
        <sz val="11"/>
        <color theme="1"/>
        <rFont val="Calibri"/>
        <family val="2"/>
        <scheme val="minor"/>
      </rPr>
      <t>Submódulo 2.1 – 13</t>
    </r>
    <r>
      <rPr>
        <vertAlign val="superscript"/>
        <sz val="10"/>
        <color rgb="FF000000"/>
        <rFont val="Century Gothic"/>
        <family val="2"/>
        <charset val="1"/>
      </rPr>
      <t>o</t>
    </r>
    <r>
      <rPr>
        <sz val="10"/>
        <color rgb="FF000000"/>
        <rFont val="Century Gothic"/>
        <family val="2"/>
        <charset val="1"/>
      </rPr>
      <t>. (décimo terceiro) salário, férias e adicional de férias</t>
    </r>
  </si>
  <si>
    <r>
      <rPr>
        <b/>
        <sz val="10"/>
        <color rgb="FF000000"/>
        <rFont val="Arial"/>
        <family val="2"/>
        <charset val="1"/>
      </rPr>
      <t>13</t>
    </r>
    <r>
      <rPr>
        <vertAlign val="superscript"/>
        <sz val="10"/>
        <color rgb="FF000000"/>
        <rFont val="Century Gothic"/>
        <family val="2"/>
        <charset val="1"/>
      </rPr>
      <t>o</t>
    </r>
    <r>
      <rPr>
        <sz val="10"/>
        <color rgb="FF000000"/>
        <rFont val="Century Gothic"/>
        <family val="2"/>
        <charset val="1"/>
      </rPr>
      <t>. Salário</t>
    </r>
  </si>
  <si>
    <t>Adicional de férias</t>
  </si>
  <si>
    <t>Submódulo 2.2 – Encargos Previdenciários (GPS), Fundo de Garantia por Tempo de Serviço (FGTS) e outras contribuições</t>
  </si>
  <si>
    <t>Base de cálculo: Módulo 1 + Smódulo 2.1</t>
  </si>
  <si>
    <t>2.2– Encargos Sociais, Previdenciários e FGTS</t>
  </si>
  <si>
    <t>INSS</t>
  </si>
  <si>
    <t>SESI ou SESC</t>
  </si>
  <si>
    <t>SENAI ou SENAC</t>
  </si>
  <si>
    <t>INCRA</t>
  </si>
  <si>
    <t>Salário educação</t>
  </si>
  <si>
    <t>FGTS</t>
  </si>
  <si>
    <t>SAT/GIIL-RAT</t>
  </si>
  <si>
    <t>H</t>
  </si>
  <si>
    <t>SEBRAE</t>
  </si>
  <si>
    <t>Submódulo 2.3 – Benefícios Mensais e Diários</t>
  </si>
  <si>
    <t>I</t>
  </si>
  <si>
    <t>Total</t>
  </si>
  <si>
    <t>Quadro resumo do Módulo 2 – Encargos e benefícios anuais, mensais e diário</t>
  </si>
  <si>
    <t>2.1</t>
  </si>
  <si>
    <r>
      <rPr>
        <sz val="11"/>
        <color theme="1"/>
        <rFont val="Calibri"/>
        <family val="2"/>
        <scheme val="minor"/>
      </rPr>
      <t>13</t>
    </r>
    <r>
      <rPr>
        <vertAlign val="superscript"/>
        <sz val="10"/>
        <color rgb="FF000000"/>
        <rFont val="Century Gothic"/>
        <family val="2"/>
        <charset val="1"/>
      </rPr>
      <t>o</t>
    </r>
    <r>
      <rPr>
        <sz val="10"/>
        <color rgb="FF000000"/>
        <rFont val="Century Gothic"/>
        <family val="2"/>
        <charset val="1"/>
      </rPr>
      <t>. Salário, férias e adicional de férias</t>
    </r>
  </si>
  <si>
    <t>2.2</t>
  </si>
  <si>
    <t>GPS, FGTS e outras contribuições</t>
  </si>
  <si>
    <t>2.3</t>
  </si>
  <si>
    <t>Benefícios Mensais e diários</t>
  </si>
  <si>
    <t>Módulo 3 – Provisão para rescisão</t>
  </si>
  <si>
    <t>Base de Cálculo (Módulo 1 + Smódulo 2.1):</t>
  </si>
  <si>
    <t>Aviso Prévio Indenizado</t>
  </si>
  <si>
    <t>dias</t>
  </si>
  <si>
    <t>% de ocorrência:</t>
  </si>
  <si>
    <t>Incidência do FGTS sobre Aviso Prévio Indenizado</t>
  </si>
  <si>
    <t>Aviso Prévio Trabalhado</t>
  </si>
  <si>
    <t>Incidência do SM 2.2 sobre o Aviso Prévio Trabalhado</t>
  </si>
  <si>
    <t>Base de Cálculo (Módulo 1):</t>
  </si>
  <si>
    <t>Multa do FGTS (Conta vinculada)</t>
  </si>
  <si>
    <t>Módulo 4 – Custo de reposição do profissional ausente</t>
  </si>
  <si>
    <t>Submódulo 4.1 – Substituto na cobertura de ausências legais</t>
  </si>
  <si>
    <t>Base de Cálculo (Módulo 1 + Submódulo 2.2)</t>
  </si>
  <si>
    <t>Substituto na cobertura de férias</t>
  </si>
  <si>
    <t>Base de Cálculo (Módulo 1 + Módulo 2 - (VT+VA) + Módulo 3)</t>
  </si>
  <si>
    <t>Substituto na cobertura de ausências legais</t>
  </si>
  <si>
    <t>Substituto na cobertura de auxilio doença</t>
  </si>
  <si>
    <t>Substituto na cobertura de licença paternidade</t>
  </si>
  <si>
    <t>Substituto na cobertura de ausência por acidente do trabalho</t>
  </si>
  <si>
    <t>Substituto na cobertura de afastamento maternidade</t>
  </si>
  <si>
    <t>Submódulo 4.2 – Intrajornada</t>
  </si>
  <si>
    <t>Intervalo para repouso e alimentação</t>
  </si>
  <si>
    <t>Quadro resumo do Módulo 4 – Custo de reposição do profissional ausente</t>
  </si>
  <si>
    <t>4.1</t>
  </si>
  <si>
    <t>Ausências legais</t>
  </si>
  <si>
    <t>4.2</t>
  </si>
  <si>
    <t>Intrajornada</t>
  </si>
  <si>
    <t>MÓDULO 05 – Insumos Diversos</t>
  </si>
  <si>
    <t>Equipamentos e Materiais (custo mensal por empregado)</t>
  </si>
  <si>
    <t>Outros (especificar) (custo mensal por empregado)</t>
  </si>
  <si>
    <t>--</t>
  </si>
  <si>
    <t>Total de Insumos Diversos</t>
  </si>
  <si>
    <t>QUADRO RESUMO DO CUSTO POR EMPREGADO</t>
  </si>
  <si>
    <t>Mão-de-obra vinculada à execução contratual (valor por empregado)</t>
  </si>
  <si>
    <t>MÓDULO 02 –Encargos e benefícios anuais, mensais e diários</t>
  </si>
  <si>
    <t>MÓDULO 03 – Provisão para rescisão</t>
  </si>
  <si>
    <t>MÓDULO 04 – Custo de reposição do profissional ausente</t>
  </si>
  <si>
    <t>MÓDULO 05 – Insumos diversos</t>
  </si>
  <si>
    <t>Custo Direto - Subtotal (A+B+C+D+E)</t>
  </si>
  <si>
    <t>MÓDULO 06 – Custos Indireto, Lucros e Tributos</t>
  </si>
  <si>
    <t>Custos Indiretos / Despesas Administrativas</t>
  </si>
  <si>
    <t>Lucro</t>
  </si>
  <si>
    <t>Tributos  Totais</t>
  </si>
  <si>
    <t>Percentual</t>
  </si>
  <si>
    <t>Valor</t>
  </si>
  <si>
    <t>Total de Custos Indireto, Lucros e Tributos</t>
  </si>
  <si>
    <t>Valor total proposto por empregado</t>
  </si>
  <si>
    <t>Manutenção predial</t>
  </si>
  <si>
    <t>serviço</t>
  </si>
  <si>
    <t>CBO Oficial de manutenção predial</t>
  </si>
  <si>
    <t>CBO Técnico ar condicionado</t>
  </si>
  <si>
    <t>CBO Técnico Hidráulico</t>
  </si>
  <si>
    <t>CBO Eletricista</t>
  </si>
  <si>
    <t>Salario Normativo Categoria Profissional: Eletricista</t>
  </si>
  <si>
    <t>Salário Normativo Categoria Profissional: Oficial de Manutenção predial</t>
  </si>
  <si>
    <t>contratação não aceita SIMPLES - verifique Edital</t>
  </si>
  <si>
    <r>
      <t xml:space="preserve">Informe o regime tributário: Clique na célula </t>
    </r>
    <r>
      <rPr>
        <b/>
        <sz val="10"/>
        <color rgb="FF000000"/>
        <rFont val="Arial"/>
        <family val="2"/>
      </rPr>
      <t>A26. Abrirá uma barra de rolagem.</t>
    </r>
    <r>
      <rPr>
        <sz val="10"/>
        <color rgb="FF000000"/>
        <rFont val="Arial"/>
        <family val="2"/>
      </rPr>
      <t xml:space="preserve"> Escolha Lucro Real ou Presumido</t>
    </r>
  </si>
  <si>
    <t>ALFSPO - SÃO PAULO</t>
  </si>
  <si>
    <t>Oficial</t>
  </si>
  <si>
    <t>Tec Ar cond.</t>
  </si>
  <si>
    <t>Tec Hidráulico</t>
  </si>
  <si>
    <t>Eletricista</t>
  </si>
  <si>
    <t>Of. Manutenção</t>
  </si>
  <si>
    <t>Tec. Ar condicionado</t>
  </si>
  <si>
    <t>Tec. Hidráulico</t>
  </si>
  <si>
    <t xml:space="preserve"> Percentual sobre a mão de obra residente:</t>
  </si>
  <si>
    <t>caso haja alteração para menos, deverá enviar comprovação documental (prova de exequibilidade)</t>
  </si>
  <si>
    <t>Salário Normativo da Categoria Profissional: Instalador hidráulico</t>
  </si>
  <si>
    <t>Salário Normativo da Categoria Profissional: Mecânico Refrigeração</t>
  </si>
  <si>
    <t>sapato ocupacional ou bota, resistente à agua, antiderrapante, sem biqueira de aço, com biqueira de proteção</t>
  </si>
  <si>
    <t>São Paulo</t>
  </si>
  <si>
    <t>manutenção predial</t>
  </si>
  <si>
    <t>outros</t>
  </si>
  <si>
    <t>outros (preencher)</t>
  </si>
  <si>
    <t xml:space="preserve"> </t>
  </si>
  <si>
    <t>5143-25</t>
  </si>
  <si>
    <t>OFICIAL DE MANUTENÇÃO PREDIAL</t>
  </si>
  <si>
    <t>APENAS PREENCHA CÉLULAS EM AMARELO</t>
  </si>
  <si>
    <r>
      <t xml:space="preserve">PERCENTUAL DE OCORRÊNCIA DO AVISO PRÉVIO TRABALHADO </t>
    </r>
    <r>
      <rPr>
        <b/>
        <sz val="10"/>
        <color rgb="FFFF0000"/>
        <rFont val="Arial"/>
        <family val="2"/>
      </rPr>
      <t>(preenchimento automático, NÃO DIGITE NADA)</t>
    </r>
  </si>
  <si>
    <t>Uniformes e EPI (custo mensal por empregado)</t>
  </si>
  <si>
    <t>ABAFADOR DE RUÍDO TIPO CONCHA PARA SLOT DE CAPACETE, ABAFAMENTO MÍNIMO DE 20dB</t>
  </si>
  <si>
    <t>LUVA ISOLANTE DE BORRACHA CLASSE 00 2.5kV</t>
  </si>
  <si>
    <t>LUVAS DE RASPA DE COURO</t>
  </si>
  <si>
    <t xml:space="preserve">LUVA TRICOTADA PIGMENTADA EM NYLON COM PUNHO EM ELÁSTICO (PAR) </t>
  </si>
  <si>
    <t>ÓCULOS DE SEGURANÇA PARA ELETRICISTA COM PROTEÇÃO UVA E UVB, FILTRO UV COM EFICIENCIA MÍNIMA DE 90%, TRATAMENTO ANTI-RISCO.</t>
  </si>
  <si>
    <t>CAPACETE CLASSE B TIPO II COM JUGULAR, COM ADESIVO DE IDENTIFICAÇÃO DO FUNCIONÁRIO VISÍVEL NA ÁREA EXTERNA DO CASCO COM AS INFORMAÇÕES: NOME COMPLETO, FUNÇÃO E TIPO SANGUÍNEO.</t>
  </si>
  <si>
    <t>PROTETOR FACIAL EM POILICARBONATO RÍGIDO DE ALTA RESISTÊNCIA, PARA PROTEÇÃO MECÂNICA CONTRA PARTÍCULAS VOLANTES MULTIDIRECIONAIS</t>
  </si>
  <si>
    <t>CINTA LOMBAR</t>
  </si>
  <si>
    <t>Jaleco manga longa com calça em brim</t>
  </si>
  <si>
    <t>INSTALADOR HIDRÁULICO</t>
  </si>
  <si>
    <t>ELETRICISTA</t>
  </si>
  <si>
    <t>Assistência Médica e Odontológica</t>
  </si>
  <si>
    <t>Auxílio Creche</t>
  </si>
  <si>
    <t>Seguro de vida</t>
  </si>
  <si>
    <t>Benefício social sindical</t>
  </si>
  <si>
    <t>Benefício natalidade</t>
  </si>
  <si>
    <t>outros (especificar)</t>
  </si>
  <si>
    <t>Insumos (materiais, depreciação de equipamentos, ferramentas e peças de uso rotineiro e direto pela Equipe</t>
  </si>
  <si>
    <t>não altere</t>
  </si>
  <si>
    <t>POSTOS</t>
  </si>
  <si>
    <t>oficial de manutenção predial</t>
  </si>
  <si>
    <t>técnico em ar-condicionado</t>
  </si>
  <si>
    <t>instalador hidráulico</t>
  </si>
  <si>
    <t>eletricista</t>
  </si>
  <si>
    <t>mensal</t>
  </si>
  <si>
    <t>total</t>
  </si>
  <si>
    <t>20 meses</t>
  </si>
  <si>
    <t>desconto sobre sinapi ou menor orçamento</t>
  </si>
  <si>
    <t>EVENTOS IMPREVISÍVEIS</t>
  </si>
  <si>
    <t>CUSTO TOTAL ITEM 01</t>
  </si>
  <si>
    <t>TOTAL 20 MESES</t>
  </si>
  <si>
    <t>20 MESES</t>
  </si>
  <si>
    <t>TOTAL 12 MESES</t>
  </si>
  <si>
    <t>TOTAL MENSAL</t>
  </si>
  <si>
    <t>preencher</t>
  </si>
  <si>
    <t>para informação:</t>
  </si>
  <si>
    <t>lançar no comprasnet</t>
  </si>
  <si>
    <t>valor líquido de serviços e materiais por 12 meses antes do bdi e desconto</t>
  </si>
  <si>
    <t>PREENCHA SOMENTE O QUE ESTIVER EM AMARELO</t>
  </si>
  <si>
    <t>ITEM 01</t>
  </si>
  <si>
    <t>Equipamento de inspeção termográfica. Para medição de 40 (quarenta) quadros elétricos e conexões na sala de nobreak e nas cabines primária e secundária.*</t>
  </si>
  <si>
    <r>
      <t xml:space="preserve">*dada a importância e custo do equipamento para o posto, foi lançado em separado (depreciação de 1/20). </t>
    </r>
    <r>
      <rPr>
        <b/>
        <sz val="8"/>
        <color rgb="FFFF0000"/>
        <rFont val="Calibri"/>
        <family val="2"/>
        <scheme val="minor"/>
      </rPr>
      <t>Custo não renovável após 20 meses.</t>
    </r>
  </si>
  <si>
    <t>SERVIÇO</t>
  </si>
  <si>
    <t>descrição pormenorizada</t>
  </si>
  <si>
    <t>Medida</t>
  </si>
  <si>
    <t>Qtde/20m</t>
  </si>
  <si>
    <t>R$/mês</t>
  </si>
  <si>
    <t>MÃO DE OBRA SOB DEMANDA</t>
  </si>
  <si>
    <t>horas</t>
  </si>
  <si>
    <t>Máscara de TNT tripla proteção,  com clipe nasal e elásticos para fixação nas orelhas, proteção contra vírus e bactérias (cx com 50u)</t>
  </si>
  <si>
    <t>máscara de proteção respiratória pff2, proteção contra poeira e névoa, para uso durante tarefas que emitam resíduos</t>
  </si>
  <si>
    <t>LUVA de borracha latex antiderrapante</t>
  </si>
  <si>
    <t>Suéter/blusão de algodão</t>
  </si>
  <si>
    <t>Crachá de identificação com foto, nome e tipo sanguíneo</t>
  </si>
  <si>
    <t>pintor</t>
  </si>
  <si>
    <t>pedreiro</t>
  </si>
  <si>
    <t>ajudante geral</t>
  </si>
  <si>
    <t>encanador</t>
  </si>
  <si>
    <t>total antes BDI</t>
  </si>
  <si>
    <t>Total antes do bdi</t>
  </si>
  <si>
    <t>TOTAL ITEM 02</t>
  </si>
  <si>
    <t>Valor máximo imprevisíveis 20%</t>
  </si>
  <si>
    <t>cod. Sinapi</t>
  </si>
  <si>
    <t>serralheiro com suas ferramentas</t>
  </si>
  <si>
    <t>vidraceiro com suas ferramentas</t>
  </si>
  <si>
    <t>preencher somente em amarelo</t>
  </si>
  <si>
    <t>ADMINISTRAÇÃO CENTRAL (AC)</t>
  </si>
  <si>
    <t>SEGURO +GARANTIA</t>
  </si>
  <si>
    <t>RISCO</t>
  </si>
  <si>
    <t>DESPESA FINANCEIRA</t>
  </si>
  <si>
    <t>LUCRO</t>
  </si>
  <si>
    <t>TRIBUTOS</t>
  </si>
  <si>
    <t>PIS</t>
  </si>
  <si>
    <t>COFINS</t>
  </si>
  <si>
    <t>ISS</t>
  </si>
  <si>
    <t>BDI</t>
  </si>
  <si>
    <t>PREENCHER SOMENTE CÉLULAS EM AMARELO</t>
  </si>
  <si>
    <t>Proporção mensal Horas</t>
  </si>
  <si>
    <t>R$/hora</t>
  </si>
  <si>
    <t>DETALHAMENTO DO BDI SERVIÇOS SOB DEMANDA ITEM 02</t>
  </si>
  <si>
    <t>margem líquida em reais (BDI - DESCONTO)</t>
  </si>
  <si>
    <t>margem líquida (BDI - DESCONTO)</t>
  </si>
  <si>
    <t>BDI (pasta Dados do Licitante)</t>
  </si>
  <si>
    <t>serviços c/ materiais, bdi e desconto</t>
  </si>
  <si>
    <t>valor líquido serv c/materiais, antes bdi e desconto</t>
  </si>
  <si>
    <t>valor líquido de serviços c/ materiais por mês antes do bdi e desconto</t>
  </si>
  <si>
    <t>BDI sobre serviços (pasta Dados do Licitante)</t>
  </si>
  <si>
    <t>Conforme Acórdão TCU Plenário 2622/2013. Tipo de obra referência: construção de edifícios. Primeiro quartil. Baixo risco e baixa complexidade. Para referência do lucro foi utilizado o quartil médio para ser mais adequado ao percentual de lucro verificado nas atuais contratações.</t>
  </si>
  <si>
    <t>LAUDO PCMSO PGR</t>
  </si>
  <si>
    <t>4 vidas/4postos/ a cada 2 anos/não incluso exames clínicos, os quais ficarão a cargo da contratada.</t>
  </si>
  <si>
    <t>unidade</t>
  </si>
  <si>
    <t>MANUTENÇÃO preventiva NOBREAK 150KVA</t>
  </si>
  <si>
    <t>RECARGA DE EXTINTORES E TESTES HIDROSTÁTICOS</t>
  </si>
  <si>
    <t>equipamento______________________________________qtde
TESTE MANGUEIRA 15 M X 1.1/2 - TIPO 2_______________36 un
 KIT RECARGA EXTINTOR DE INCENDIO CO2 6 KG______    22un
 KIT RECARGA EXTINTOR DE INCENDIO PQS 50 KG - BC _____1un
 KIT RECARGA EXTINTOR DE INCENDIO AP 10 L____________13un
KIT RECARGA EXTINTOR DE INCENDIO PQS 6 KG - BC ______14un
KIT RECARGA EXTINTOR DE INCENDIO PQS 8 KG - BC_______8un
KIT RECARGA EXTINTOR DE INCENDIO PQS 4 KG - BC  ______1un
RECARGA EXTINTOR DE INCENDIO PQS 20 KG - BC - 40 BC ______1un
TESTE / ENSAIO HIDROSTATICO PORTATIL _______________58un
TESTE / ENSAIO HIDROSTATICO SOBRE RODAS ( 20 A 3OKG)_____ 1un
TESTE / ENSAIO HIDROSTATICO SOBRE RODAS ( 45 A 150 KG)____1un</t>
  </si>
  <si>
    <t>MANUTENÇÃO PREVENTIVA E CORRETIVA CABINE PRIMÁRIA</t>
  </si>
  <si>
    <t>Serviço de análise da qualidade do ar, 18 pontos, a cada seis meses</t>
  </si>
  <si>
    <t>ANÁLISE DA QUALIDADE DO AR, COM LAUDO E ART</t>
  </si>
  <si>
    <t>MANUTENÇÃO GRUPO MOTO GERADOR</t>
  </si>
  <si>
    <t>Gerador Cummins LUFTEC 150KVA, MANUTENÇÃO A CADA SEIS MESES, COM MATERIAL</t>
  </si>
  <si>
    <t xml:space="preserve">TRATAMENTO QUÍMICO DE ÁGUA CONDENSADA </t>
  </si>
  <si>
    <t>tramento mensal com emissão de laudo, água condensada para sistema de ar-condicionado central</t>
  </si>
  <si>
    <t>trimestral - 4 visitas por ano/sem peças/somente serviços</t>
  </si>
  <si>
    <t>OUTROS</t>
  </si>
  <si>
    <t>DESCONTO</t>
  </si>
  <si>
    <t>BDI - DESCONTO</t>
  </si>
  <si>
    <t>TOTAL APÓS BDI - DESCONTO</t>
  </si>
  <si>
    <t xml:space="preserve"> BDI - DESCONTO</t>
  </si>
  <si>
    <t>BATERIAS PARA NOBREAK 150KVA</t>
  </si>
  <si>
    <t>troca de 64 baterias selada VRLA MOD PGP1270 12V70Ah para nobreak 150kva  (material + retirada das antigas+ instalação +testes +garantia+ descarte sucata)</t>
  </si>
  <si>
    <t>R$/ano</t>
  </si>
  <si>
    <t>Anual. Inclui manutenção do nobreak 1200va senoidal, desligamento da cabine e teste de funcionalidade do relê e manutenção preventiva da cabine primária com análise de óleo. Não inclui abastecimento de diesel.*</t>
  </si>
  <si>
    <t>bdi sobre serviços (conforme já preenchido no DADOS DO LICITANTE)</t>
  </si>
  <si>
    <t>MENSAL</t>
  </si>
  <si>
    <t>ANUAL</t>
  </si>
  <si>
    <t>PLANILHA DE SERVIÇOS SOB DEMANDA - PREENCHER APENAS CÉLULAS EM AMARELO - Serviços especializados e postos de apoio</t>
  </si>
  <si>
    <t>* consumo de diesel: por ser variável e seu preço sofrer grandes variações ao longo do ano, seu custo será objeto do item 01, parcela variável, eventos imprevisíveis</t>
  </si>
  <si>
    <t>a título de informação, durante o ano de 2022 - janeiro a outubro - o consumo foi de 500 litros.</t>
  </si>
  <si>
    <t>item 01</t>
  </si>
  <si>
    <t>item 02</t>
  </si>
  <si>
    <t>TOTAL</t>
  </si>
  <si>
    <t xml:space="preserve">lançar no comprasnet </t>
  </si>
  <si>
    <t>Valores para lançamento no comprasnet - 20 meses</t>
  </si>
  <si>
    <t>pregão 04-2022</t>
  </si>
  <si>
    <t>9hs</t>
  </si>
  <si>
    <t>9112-05</t>
  </si>
  <si>
    <t>7241-10</t>
  </si>
  <si>
    <t>9511-05</t>
  </si>
  <si>
    <t>Alíquotas do ISS do Município (não altere)</t>
  </si>
  <si>
    <t>04_2022</t>
  </si>
  <si>
    <t>157717208003/2022-44</t>
  </si>
  <si>
    <t>157717208032022-44</t>
  </si>
  <si>
    <t>04_22</t>
  </si>
  <si>
    <t>15771.720.803/2022-44</t>
  </si>
  <si>
    <t>não altere. Preenchimento automático</t>
  </si>
  <si>
    <t>PREENCHA SOMENTE CÉLULAS EM AMARELO</t>
  </si>
  <si>
    <t>R$/20 meses</t>
  </si>
  <si>
    <t xml:space="preserve">R$/20m </t>
  </si>
  <si>
    <t>NÃO PREENCHA ESTA TABELA. É APENAS O RESUMO.</t>
  </si>
  <si>
    <t>20 meses  POR SERVIÇO (c/ BDI). Observe o valor máximo aceitável.</t>
  </si>
  <si>
    <t>20m -  c/BDI. Observe o valor máximo aceitável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</si>
</sst>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R$&quot;\ * #,##0.00_-;\-&quot;R$&quot;\ * #,##0.00_-;_-&quot;R$&quot;\ * &quot;-&quot;??_-;_-@_-"/>
    <numFmt numFmtId="164" formatCode="d/m/yyyy"/>
    <numFmt numFmtId="165" formatCode="[$R$-416]\ #,##0.00;[Red]\-[$R$-416]\ #,##0.00"/>
    <numFmt numFmtId="166" formatCode="mm/yy"/>
    <numFmt numFmtId="167" formatCode="&quot; R$ &quot;#,##0.00\ ;&quot; R$ (&quot;#,##0.00\);&quot; R$ -&quot;#\ ;@\ "/>
    <numFmt numFmtId="168" formatCode="0.00000"/>
    <numFmt numFmtId="169" formatCode="&quot;R$&quot;\ #,##0.00"/>
    <numFmt numFmtId="170" formatCode="0.000"/>
    <numFmt numFmtId="171" formatCode="#,##0.000"/>
    <numFmt numFmtId="172" formatCode="&quot;R$&quot;#,##0.00"/>
    <numFmt numFmtId="173" formatCode="0.000%"/>
    <numFmt numFmtId="174" formatCode="[$R$-416]\ #,##0.00;[Red][$R$-416]\ #,##0.00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sz val="8"/>
      <color rgb="FF00000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8"/>
      <color rgb="FF000000"/>
      <name val="Arial"/>
      <family val="2"/>
    </font>
    <font>
      <sz val="9"/>
      <color indexed="81"/>
      <name val="Segoe UI"/>
      <family val="2"/>
    </font>
    <font>
      <b/>
      <sz val="10"/>
      <color rgb="FF000000"/>
      <name val="Arial"/>
      <family val="2"/>
      <charset val="1"/>
    </font>
    <font>
      <sz val="8"/>
      <color rgb="FF000000"/>
      <name val="Segoe UI"/>
      <family val="2"/>
    </font>
    <font>
      <sz val="10"/>
      <color rgb="FF000000"/>
      <name val="Century Gothic"/>
      <family val="2"/>
      <charset val="1"/>
    </font>
    <font>
      <b/>
      <sz val="10"/>
      <color rgb="FF0084D1"/>
      <name val="Arial"/>
      <family val="2"/>
      <charset val="1"/>
    </font>
    <font>
      <b/>
      <sz val="10"/>
      <name val="Arial"/>
      <family val="2"/>
      <charset val="1"/>
    </font>
    <font>
      <sz val="10"/>
      <color rgb="FF00B0F0"/>
      <name val="Arial"/>
      <family val="2"/>
      <charset val="1"/>
    </font>
    <font>
      <vertAlign val="superscript"/>
      <sz val="10"/>
      <color rgb="FF000000"/>
      <name val="Century Gothic"/>
      <family val="2"/>
      <charset val="1"/>
    </font>
    <font>
      <i/>
      <sz val="10"/>
      <color rgb="FF000000"/>
      <name val="Arial"/>
      <family val="2"/>
      <charset val="1"/>
    </font>
    <font>
      <b/>
      <u/>
      <sz val="10"/>
      <color rgb="FF000000"/>
      <name val="Arial"/>
      <family val="2"/>
      <charset val="1"/>
    </font>
    <font>
      <i/>
      <sz val="10"/>
      <color rgb="FF0084D1"/>
      <name val="Arial"/>
      <family val="2"/>
      <charset val="1"/>
    </font>
    <font>
      <sz val="10"/>
      <color theme="2" tint="-0.499984740745262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FF0000"/>
      <name val="Arial"/>
      <family val="2"/>
    </font>
    <font>
      <sz val="6"/>
      <color rgb="FFFF0000"/>
      <name val="Arial"/>
      <family val="2"/>
    </font>
    <font>
      <sz val="6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indexed="81"/>
      <name val="Segoe UI"/>
      <family val="2"/>
    </font>
    <font>
      <sz val="7"/>
      <color indexed="81"/>
      <name val="Segoe UI"/>
      <family val="2"/>
    </font>
    <font>
      <sz val="6"/>
      <color indexed="81"/>
      <name val="Segoe UI"/>
      <family val="2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81"/>
      <name val="Segoe UI"/>
      <family val="2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8"/>
      <color theme="1"/>
      <name val="Arial"/>
      <family val="2"/>
    </font>
    <font>
      <i/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5"/>
      <color rgb="FF000000"/>
      <name val="Arial"/>
      <family val="2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6"/>
      <color rgb="FF000000"/>
      <name val="Arial"/>
      <family val="2"/>
    </font>
    <font>
      <b/>
      <sz val="7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FF"/>
        <bgColor rgb="FFE7E6E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7E6E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00B0F0"/>
        <bgColor rgb="FFFFFF00"/>
      </patternFill>
    </fill>
    <fill>
      <patternFill patternType="solid">
        <fgColor rgb="FFFFFF00"/>
        <bgColor rgb="FFE7E6E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70AD47"/>
        <bgColor rgb="FF99CC00"/>
      </patternFill>
    </fill>
    <fill>
      <patternFill patternType="solid">
        <fgColor rgb="FFFFFF00"/>
        <bgColor rgb="FFCCFFFF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rgb="FFCCFFFF"/>
      </patternFill>
    </fill>
    <fill>
      <patternFill patternType="solid">
        <fgColor rgb="FF92D050"/>
        <bgColor rgb="FF0084D1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21"/>
        <bgColor rgb="FFCCFFFF"/>
      </patternFill>
    </fill>
    <fill>
      <patternFill patternType="solid">
        <fgColor rgb="FF00B050"/>
        <bgColor rgb="FF008080"/>
      </patternFill>
    </fill>
    <fill>
      <patternFill patternType="solid">
        <fgColor theme="0"/>
        <bgColor rgb="FFFFFF00"/>
      </patternFill>
    </fill>
    <fill>
      <patternFill patternType="solid">
        <fgColor rgb="FFCCFFFF"/>
        <bgColor rgb="FFE7E6E6"/>
      </patternFill>
    </fill>
    <fill>
      <patternFill patternType="solid">
        <fgColor rgb="FF00B050"/>
        <bgColor rgb="FFFFFF00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rgb="FFFFFF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544">
    <xf numFmtId="0" fontId="0" fillId="0" borderId="0" xfId="0"/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0" fillId="4" borderId="0" xfId="0" applyFill="1" applyAlignment="1">
      <alignment vertical="center"/>
    </xf>
    <xf numFmtId="0" fontId="4" fillId="5" borderId="0" xfId="0" applyFont="1" applyFill="1" applyAlignment="1" applyProtection="1">
      <alignment horizontal="center" vertical="center" wrapText="1"/>
      <protection locked="0"/>
    </xf>
    <xf numFmtId="0" fontId="4" fillId="4" borderId="0" xfId="0" applyFont="1" applyFill="1" applyAlignment="1" applyProtection="1">
      <alignment vertical="center" wrapText="1"/>
      <protection locked="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5" fillId="5" borderId="0" xfId="0" applyFont="1" applyFill="1" applyAlignment="1" applyProtection="1">
      <alignment horizontal="left" vertical="center" wrapText="1"/>
      <protection locked="0"/>
    </xf>
    <xf numFmtId="0" fontId="4" fillId="4" borderId="0" xfId="0" applyFont="1" applyFill="1" applyAlignment="1" applyProtection="1">
      <alignment vertical="center"/>
      <protection locked="0"/>
    </xf>
    <xf numFmtId="165" fontId="5" fillId="4" borderId="0" xfId="0" applyNumberFormat="1" applyFont="1" applyFill="1" applyAlignment="1" applyProtection="1">
      <alignment horizontal="left" vertical="center" wrapText="1"/>
      <protection locked="0"/>
    </xf>
    <xf numFmtId="0" fontId="5" fillId="4" borderId="0" xfId="0" applyFont="1" applyFill="1" applyAlignment="1" applyProtection="1">
      <alignment horizontal="left" vertical="center" wrapText="1"/>
      <protection locked="0"/>
    </xf>
    <xf numFmtId="166" fontId="5" fillId="4" borderId="0" xfId="0" applyNumberFormat="1" applyFont="1" applyFill="1" applyAlignment="1" applyProtection="1">
      <alignment horizontal="left" vertical="center" wrapText="1"/>
      <protection locked="0"/>
    </xf>
    <xf numFmtId="0" fontId="4" fillId="4" borderId="0" xfId="2" applyFont="1" applyFill="1" applyBorder="1" applyAlignment="1" applyProtection="1">
      <alignment horizontal="left" vertical="center" wrapText="1"/>
      <protection locked="0"/>
    </xf>
    <xf numFmtId="166" fontId="5" fillId="4" borderId="0" xfId="0" applyNumberFormat="1" applyFont="1" applyFill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right" vertical="center" wrapText="1"/>
      <protection locked="0"/>
    </xf>
    <xf numFmtId="9" fontId="4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5" borderId="2" xfId="0" applyFont="1" applyFill="1" applyBorder="1" applyAlignment="1" applyProtection="1">
      <alignment horizontal="center" vertical="center" wrapText="1"/>
      <protection locked="0"/>
    </xf>
    <xf numFmtId="0" fontId="3" fillId="5" borderId="3" xfId="0" applyFont="1" applyFill="1" applyBorder="1" applyAlignment="1" applyProtection="1">
      <alignment horizontal="center" vertical="center" wrapText="1"/>
      <protection locked="0"/>
    </xf>
    <xf numFmtId="0" fontId="4" fillId="4" borderId="7" xfId="0" applyFont="1" applyFill="1" applyBorder="1" applyAlignment="1" applyProtection="1">
      <alignment vertical="center" wrapText="1"/>
      <protection locked="0"/>
    </xf>
    <xf numFmtId="0" fontId="3" fillId="11" borderId="3" xfId="0" applyFont="1" applyFill="1" applyBorder="1" applyAlignment="1" applyProtection="1">
      <alignment vertical="center" wrapText="1"/>
      <protection locked="0"/>
    </xf>
    <xf numFmtId="0" fontId="3" fillId="11" borderId="4" xfId="0" applyFont="1" applyFill="1" applyBorder="1" applyAlignment="1" applyProtection="1">
      <alignment vertical="center" wrapText="1"/>
      <protection locked="0"/>
    </xf>
    <xf numFmtId="0" fontId="4" fillId="7" borderId="1" xfId="2" applyFont="1" applyFill="1" applyBorder="1" applyAlignment="1" applyProtection="1">
      <alignment horizontal="center" vertical="center" wrapText="1"/>
      <protection locked="0"/>
    </xf>
    <xf numFmtId="0" fontId="4" fillId="7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Border="1" applyAlignment="1" applyProtection="1">
      <alignment horizontal="center" vertical="center" wrapText="1"/>
      <protection locked="0"/>
    </xf>
    <xf numFmtId="0" fontId="8" fillId="0" borderId="1" xfId="2" applyFont="1" applyBorder="1" applyAlignment="1" applyProtection="1">
      <alignment horizontal="center" vertical="center" wrapText="1"/>
      <protection locked="0"/>
    </xf>
    <xf numFmtId="0" fontId="4" fillId="4" borderId="0" xfId="0" applyFont="1" applyFill="1" applyAlignment="1" applyProtection="1">
      <alignment horizontal="left" vertical="center" wrapText="1"/>
      <protection locked="0"/>
    </xf>
    <xf numFmtId="0" fontId="0" fillId="4" borderId="9" xfId="0" applyFill="1" applyBorder="1" applyAlignment="1">
      <alignment vertical="center"/>
    </xf>
    <xf numFmtId="0" fontId="4" fillId="4" borderId="0" xfId="0" applyFont="1" applyFill="1" applyAlignment="1" applyProtection="1">
      <alignment horizontal="center" vertical="center" wrapText="1"/>
      <protection locked="0"/>
    </xf>
    <xf numFmtId="0" fontId="4" fillId="5" borderId="0" xfId="2" applyFont="1" applyFill="1" applyBorder="1" applyAlignment="1" applyProtection="1">
      <alignment horizontal="center" vertical="center" wrapText="1"/>
      <protection locked="0"/>
    </xf>
    <xf numFmtId="0" fontId="0" fillId="4" borderId="0" xfId="0" applyFill="1"/>
    <xf numFmtId="0" fontId="3" fillId="4" borderId="0" xfId="0" applyFont="1" applyFill="1" applyAlignment="1" applyProtection="1">
      <alignment horizontal="center" vertical="center" wrapText="1"/>
      <protection locked="0"/>
    </xf>
    <xf numFmtId="10" fontId="4" fillId="4" borderId="0" xfId="0" applyNumberFormat="1" applyFont="1" applyFill="1" applyAlignment="1" applyProtection="1">
      <alignment horizontal="center" vertical="center" wrapText="1"/>
      <protection locked="0"/>
    </xf>
    <xf numFmtId="10" fontId="4" fillId="7" borderId="1" xfId="1" applyNumberFormat="1" applyFont="1" applyFill="1" applyBorder="1" applyAlignment="1" applyProtection="1">
      <alignment horizontal="center" vertical="center" wrapText="1"/>
      <protection locked="0"/>
    </xf>
    <xf numFmtId="10" fontId="4" fillId="0" borderId="1" xfId="1" applyNumberFormat="1" applyFont="1" applyBorder="1" applyAlignment="1" applyProtection="1">
      <alignment horizontal="center" vertical="center" wrapText="1"/>
      <protection locked="0"/>
    </xf>
    <xf numFmtId="10" fontId="4" fillId="4" borderId="0" xfId="1" applyNumberFormat="1" applyFont="1" applyFill="1" applyBorder="1" applyAlignment="1" applyProtection="1">
      <alignment horizontal="center" vertical="center" wrapText="1"/>
      <protection locked="0"/>
    </xf>
    <xf numFmtId="173" fontId="4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0" fillId="16" borderId="1" xfId="0" applyFill="1" applyBorder="1" applyAlignment="1">
      <alignment horizontal="center" vertical="center" wrapText="1"/>
    </xf>
    <xf numFmtId="44" fontId="0" fillId="7" borderId="1" xfId="2" applyNumberFormat="1" applyFont="1" applyFill="1" applyBorder="1" applyAlignment="1" applyProtection="1">
      <alignment horizontal="center" vertical="center"/>
    </xf>
    <xf numFmtId="0" fontId="0" fillId="16" borderId="1" xfId="0" applyFill="1" applyBorder="1" applyAlignment="1">
      <alignment horizontal="center" vertical="center"/>
    </xf>
    <xf numFmtId="44" fontId="0" fillId="0" borderId="1" xfId="2" applyNumberFormat="1" applyFont="1" applyBorder="1" applyAlignment="1" applyProtection="1">
      <alignment vertical="center"/>
    </xf>
    <xf numFmtId="0" fontId="4" fillId="16" borderId="1" xfId="0" applyFont="1" applyFill="1" applyBorder="1" applyAlignment="1">
      <alignment horizontal="center" vertical="center" wrapText="1"/>
    </xf>
    <xf numFmtId="0" fontId="4" fillId="16" borderId="1" xfId="0" applyFont="1" applyFill="1" applyBorder="1" applyAlignment="1">
      <alignment horizontal="center" vertical="center"/>
    </xf>
    <xf numFmtId="169" fontId="0" fillId="6" borderId="1" xfId="0" applyNumberFormat="1" applyFill="1" applyBorder="1" applyAlignment="1">
      <alignment horizontal="center" vertical="center" wrapText="1"/>
    </xf>
    <xf numFmtId="0" fontId="0" fillId="4" borderId="2" xfId="0" applyFill="1" applyBorder="1" applyAlignment="1">
      <alignment vertical="center" wrapText="1"/>
    </xf>
    <xf numFmtId="0" fontId="0" fillId="4" borderId="3" xfId="0" applyFill="1" applyBorder="1" applyAlignment="1">
      <alignment vertical="center" wrapText="1"/>
    </xf>
    <xf numFmtId="44" fontId="0" fillId="4" borderId="4" xfId="0" applyNumberFormat="1" applyFill="1" applyBorder="1" applyAlignment="1">
      <alignment vertical="center" wrapText="1"/>
    </xf>
    <xf numFmtId="44" fontId="11" fillId="10" borderId="1" xfId="0" applyNumberFormat="1" applyFont="1" applyFill="1" applyBorder="1" applyAlignment="1">
      <alignment vertical="center"/>
    </xf>
    <xf numFmtId="0" fontId="11" fillId="14" borderId="0" xfId="0" applyFont="1" applyFill="1" applyAlignment="1">
      <alignment horizontal="center" vertical="center"/>
    </xf>
    <xf numFmtId="0" fontId="13" fillId="4" borderId="0" xfId="0" applyFont="1" applyFill="1" applyAlignment="1">
      <alignment vertical="center"/>
    </xf>
    <xf numFmtId="0" fontId="11" fillId="2" borderId="1" xfId="0" applyFont="1" applyFill="1" applyBorder="1" applyAlignment="1">
      <alignment vertical="center"/>
    </xf>
    <xf numFmtId="0" fontId="0" fillId="5" borderId="0" xfId="0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0" fillId="5" borderId="0" xfId="0" applyFill="1"/>
    <xf numFmtId="0" fontId="0" fillId="5" borderId="0" xfId="0" applyFill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0" fontId="0" fillId="5" borderId="0" xfId="0" applyFill="1" applyAlignment="1">
      <alignment horizontal="center" vertical="center" wrapText="1"/>
    </xf>
    <xf numFmtId="0" fontId="11" fillId="14" borderId="0" xfId="0" applyFont="1" applyFill="1" applyAlignment="1">
      <alignment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166" fontId="0" fillId="5" borderId="0" xfId="0" applyNumberFormat="1" applyFill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right" vertical="center"/>
    </xf>
    <xf numFmtId="0" fontId="16" fillId="8" borderId="1" xfId="0" applyFont="1" applyFill="1" applyBorder="1" applyAlignment="1">
      <alignment horizontal="left" vertical="center"/>
    </xf>
    <xf numFmtId="0" fontId="11" fillId="18" borderId="1" xfId="0" applyFont="1" applyFill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11" fillId="2" borderId="1" xfId="0" applyNumberFormat="1" applyFont="1" applyFill="1" applyBorder="1" applyAlignment="1">
      <alignment horizontal="center" vertical="center"/>
    </xf>
    <xf numFmtId="10" fontId="3" fillId="3" borderId="1" xfId="0" applyNumberFormat="1" applyFont="1" applyFill="1" applyBorder="1" applyAlignment="1">
      <alignment horizontal="center" vertical="center"/>
    </xf>
    <xf numFmtId="10" fontId="18" fillId="0" borderId="1" xfId="0" applyNumberFormat="1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11" fillId="4" borderId="0" xfId="0" applyFont="1" applyFill="1" applyAlignment="1">
      <alignment vertical="center"/>
    </xf>
    <xf numFmtId="0" fontId="0" fillId="4" borderId="2" xfId="0" applyFill="1" applyBorder="1" applyAlignment="1">
      <alignment horizontal="right" vertical="center"/>
    </xf>
    <xf numFmtId="0" fontId="0" fillId="4" borderId="4" xfId="0" applyFill="1" applyBorder="1" applyAlignment="1">
      <alignment vertical="center"/>
    </xf>
    <xf numFmtId="10" fontId="0" fillId="0" borderId="1" xfId="1" applyNumberFormat="1" applyFont="1" applyBorder="1" applyAlignment="1" applyProtection="1">
      <alignment horizontal="center" vertical="center"/>
    </xf>
    <xf numFmtId="10" fontId="0" fillId="0" borderId="4" xfId="1" applyNumberFormat="1" applyFont="1" applyBorder="1" applyAlignment="1" applyProtection="1">
      <alignment horizontal="center" vertical="center"/>
    </xf>
    <xf numFmtId="10" fontId="11" fillId="18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10" fontId="4" fillId="4" borderId="1" xfId="0" applyNumberFormat="1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0" fontId="3" fillId="2" borderId="5" xfId="0" applyNumberFormat="1" applyFont="1" applyFill="1" applyBorder="1" applyAlignment="1" applyProtection="1">
      <alignment horizontal="center" vertical="center" wrapText="1"/>
      <protection locked="0"/>
    </xf>
    <xf numFmtId="172" fontId="0" fillId="4" borderId="2" xfId="0" applyNumberForma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4" borderId="3" xfId="0" applyFill="1" applyBorder="1"/>
    <xf numFmtId="1" fontId="15" fillId="2" borderId="2" xfId="0" applyNumberFormat="1" applyFont="1" applyFill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/>
    </xf>
    <xf numFmtId="165" fontId="11" fillId="18" borderId="2" xfId="0" applyNumberFormat="1" applyFont="1" applyFill="1" applyBorder="1" applyAlignment="1">
      <alignment horizontal="center" vertical="center"/>
    </xf>
    <xf numFmtId="1" fontId="15" fillId="0" borderId="0" xfId="0" applyNumberFormat="1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165" fontId="11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174" fontId="11" fillId="19" borderId="2" xfId="0" applyNumberFormat="1" applyFont="1" applyFill="1" applyBorder="1" applyAlignment="1">
      <alignment horizontal="center" vertical="center" wrapText="1"/>
    </xf>
    <xf numFmtId="165" fontId="0" fillId="3" borderId="2" xfId="0" applyNumberForma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174" fontId="11" fillId="0" borderId="0" xfId="0" applyNumberFormat="1" applyFont="1" applyAlignment="1">
      <alignment horizontal="center" vertical="center" wrapText="1"/>
    </xf>
    <xf numFmtId="0" fontId="0" fillId="0" borderId="0" xfId="2" applyFont="1" applyFill="1" applyBorder="1" applyAlignment="1" applyProtection="1">
      <alignment horizontal="center" vertical="center"/>
    </xf>
    <xf numFmtId="174" fontId="11" fillId="19" borderId="2" xfId="0" applyNumberFormat="1" applyFont="1" applyFill="1" applyBorder="1" applyAlignment="1">
      <alignment horizontal="center" vertical="center"/>
    </xf>
    <xf numFmtId="174" fontId="11" fillId="0" borderId="0" xfId="0" applyNumberFormat="1" applyFont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0" fillId="0" borderId="0" xfId="2" applyFont="1" applyFill="1" applyBorder="1" applyAlignment="1" applyProtection="1">
      <alignment vertical="center"/>
    </xf>
    <xf numFmtId="10" fontId="21" fillId="0" borderId="2" xfId="0" applyNumberFormat="1" applyFont="1" applyBorder="1" applyAlignment="1">
      <alignment horizontal="center" vertical="center"/>
    </xf>
    <xf numFmtId="165" fontId="11" fillId="18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0" fontId="21" fillId="0" borderId="0" xfId="0" applyNumberFormat="1" applyFont="1" applyAlignment="1">
      <alignment horizontal="center" vertical="center"/>
    </xf>
    <xf numFmtId="10" fontId="21" fillId="0" borderId="0" xfId="2" applyNumberFormat="1" applyFont="1" applyFill="1" applyBorder="1" applyAlignment="1" applyProtection="1">
      <alignment horizontal="center" vertical="center"/>
    </xf>
    <xf numFmtId="165" fontId="1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vertical="center"/>
    </xf>
    <xf numFmtId="166" fontId="0" fillId="0" borderId="0" xfId="0" applyNumberFormat="1" applyAlignment="1">
      <alignment horizontal="center" vertical="center"/>
    </xf>
    <xf numFmtId="0" fontId="11" fillId="0" borderId="0" xfId="0" applyFont="1" applyAlignment="1">
      <alignment horizontal="left" vertical="center"/>
    </xf>
    <xf numFmtId="1" fontId="15" fillId="0" borderId="0" xfId="0" applyNumberFormat="1" applyFont="1" applyAlignment="1">
      <alignment horizontal="center" vertical="center"/>
    </xf>
    <xf numFmtId="0" fontId="0" fillId="3" borderId="5" xfId="0" applyFill="1" applyBorder="1" applyAlignment="1">
      <alignment vertical="center"/>
    </xf>
    <xf numFmtId="10" fontId="18" fillId="0" borderId="5" xfId="0" applyNumberFormat="1" applyFont="1" applyBorder="1" applyAlignment="1">
      <alignment horizontal="center" vertical="center"/>
    </xf>
    <xf numFmtId="165" fontId="0" fillId="3" borderId="10" xfId="0" applyNumberForma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 wrapText="1"/>
    </xf>
    <xf numFmtId="165" fontId="13" fillId="0" borderId="0" xfId="0" applyNumberFormat="1" applyFont="1" applyAlignment="1">
      <alignment vertical="center"/>
    </xf>
    <xf numFmtId="0" fontId="4" fillId="3" borderId="1" xfId="2" applyFont="1" applyFill="1" applyBorder="1" applyAlignment="1" applyProtection="1">
      <alignment horizontal="center" vertical="center"/>
      <protection locked="0"/>
    </xf>
    <xf numFmtId="0" fontId="0" fillId="13" borderId="4" xfId="0" applyFill="1" applyBorder="1" applyAlignment="1">
      <alignment horizontal="center" vertical="center"/>
    </xf>
    <xf numFmtId="172" fontId="0" fillId="13" borderId="4" xfId="0" applyNumberFormat="1" applyFill="1" applyBorder="1" applyAlignment="1">
      <alignment horizontal="center" vertical="center"/>
    </xf>
    <xf numFmtId="0" fontId="4" fillId="7" borderId="1" xfId="2" applyFont="1" applyFill="1" applyBorder="1" applyAlignment="1" applyProtection="1">
      <alignment horizontal="center" vertical="center"/>
      <protection locked="0"/>
    </xf>
    <xf numFmtId="0" fontId="4" fillId="21" borderId="1" xfId="2" applyFont="1" applyFill="1" applyBorder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horizontal="center" vertical="center"/>
      <protection locked="0"/>
    </xf>
    <xf numFmtId="0" fontId="4" fillId="13" borderId="1" xfId="2" applyFont="1" applyFill="1" applyBorder="1" applyAlignment="1" applyProtection="1">
      <alignment horizontal="center" vertical="center"/>
      <protection locked="0"/>
    </xf>
    <xf numFmtId="0" fontId="4" fillId="9" borderId="1" xfId="2" applyFont="1" applyFill="1" applyBorder="1" applyAlignment="1" applyProtection="1">
      <alignment horizontal="center" vertical="center"/>
      <protection locked="0"/>
    </xf>
    <xf numFmtId="0" fontId="4" fillId="0" borderId="1" xfId="2" applyFont="1" applyFill="1" applyBorder="1" applyAlignment="1" applyProtection="1">
      <alignment horizontal="center" vertical="center"/>
      <protection locked="0"/>
    </xf>
    <xf numFmtId="0" fontId="4" fillId="9" borderId="2" xfId="2" applyFont="1" applyFill="1" applyBorder="1" applyAlignment="1" applyProtection="1">
      <alignment horizontal="center" vertical="center"/>
      <protection locked="0"/>
    </xf>
    <xf numFmtId="0" fontId="4" fillId="0" borderId="3" xfId="2" applyFont="1" applyFill="1" applyBorder="1" applyAlignment="1" applyProtection="1">
      <alignment horizontal="center" vertical="center"/>
      <protection locked="0"/>
    </xf>
    <xf numFmtId="0" fontId="4" fillId="0" borderId="4" xfId="2" applyFont="1" applyFill="1" applyBorder="1" applyAlignment="1" applyProtection="1">
      <alignment horizontal="center" vertical="center"/>
      <protection locked="0"/>
    </xf>
    <xf numFmtId="165" fontId="4" fillId="6" borderId="2" xfId="2" applyNumberFormat="1" applyFont="1" applyFill="1" applyBorder="1" applyAlignment="1" applyProtection="1">
      <alignment horizontal="center" vertical="center"/>
      <protection locked="0"/>
    </xf>
    <xf numFmtId="10" fontId="4" fillId="7" borderId="2" xfId="1" applyNumberFormat="1" applyFont="1" applyFill="1" applyBorder="1" applyAlignment="1" applyProtection="1">
      <alignment horizontal="center" vertical="center"/>
      <protection locked="0"/>
    </xf>
    <xf numFmtId="10" fontId="4" fillId="22" borderId="4" xfId="1" applyNumberFormat="1" applyFont="1" applyFill="1" applyBorder="1" applyAlignment="1" applyProtection="1">
      <alignment horizontal="center" vertical="center"/>
      <protection locked="0"/>
    </xf>
    <xf numFmtId="10" fontId="4" fillId="20" borderId="1" xfId="1" applyNumberFormat="1" applyFont="1" applyFill="1" applyBorder="1" applyAlignment="1" applyProtection="1">
      <alignment horizontal="center" vertical="center"/>
      <protection locked="0"/>
    </xf>
    <xf numFmtId="10" fontId="4" fillId="22" borderId="1" xfId="1" applyNumberFormat="1" applyFont="1" applyFill="1" applyBorder="1" applyAlignment="1" applyProtection="1">
      <alignment horizontal="center" vertical="center"/>
      <protection locked="0"/>
    </xf>
    <xf numFmtId="10" fontId="4" fillId="6" borderId="1" xfId="0" applyNumberFormat="1" applyFont="1" applyFill="1" applyBorder="1" applyAlignment="1" applyProtection="1">
      <alignment horizontal="center" vertical="center"/>
      <protection locked="0"/>
    </xf>
    <xf numFmtId="10" fontId="4" fillId="23" borderId="1" xfId="0" applyNumberFormat="1" applyFont="1" applyFill="1" applyBorder="1" applyAlignment="1" applyProtection="1">
      <alignment horizontal="center" vertical="center"/>
      <protection locked="0"/>
    </xf>
    <xf numFmtId="10" fontId="3" fillId="7" borderId="1" xfId="0" applyNumberFormat="1" applyFont="1" applyFill="1" applyBorder="1" applyAlignment="1" applyProtection="1">
      <alignment horizontal="center" vertical="center"/>
      <protection locked="0"/>
    </xf>
    <xf numFmtId="10" fontId="3" fillId="8" borderId="1" xfId="0" applyNumberFormat="1" applyFont="1" applyFill="1" applyBorder="1" applyAlignment="1" applyProtection="1">
      <alignment horizontal="center" vertical="center"/>
      <protection locked="0"/>
    </xf>
    <xf numFmtId="168" fontId="4" fillId="7" borderId="1" xfId="0" applyNumberFormat="1" applyFont="1" applyFill="1" applyBorder="1" applyAlignment="1" applyProtection="1">
      <alignment horizontal="center" vertical="center"/>
      <protection locked="0"/>
    </xf>
    <xf numFmtId="168" fontId="4" fillId="8" borderId="1" xfId="0" applyNumberFormat="1" applyFont="1" applyFill="1" applyBorder="1" applyAlignment="1" applyProtection="1">
      <alignment horizontal="center" vertical="center"/>
      <protection locked="0"/>
    </xf>
    <xf numFmtId="10" fontId="4" fillId="2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1" borderId="4" xfId="0" applyFont="1" applyFill="1" applyBorder="1" applyAlignment="1" applyProtection="1">
      <alignment horizontal="center" vertical="center" wrapText="1"/>
      <protection locked="0"/>
    </xf>
    <xf numFmtId="10" fontId="0" fillId="13" borderId="1" xfId="0" applyNumberFormat="1" applyFill="1" applyBorder="1" applyAlignment="1">
      <alignment horizontal="center" vertical="center"/>
    </xf>
    <xf numFmtId="0" fontId="37" fillId="17" borderId="1" xfId="0" applyFont="1" applyFill="1" applyBorder="1" applyAlignment="1">
      <alignment horizontal="center" vertical="center" wrapText="1"/>
    </xf>
    <xf numFmtId="0" fontId="37" fillId="4" borderId="1" xfId="0" applyFont="1" applyFill="1" applyBorder="1" applyAlignment="1">
      <alignment vertical="center" wrapText="1"/>
    </xf>
    <xf numFmtId="0" fontId="37" fillId="0" borderId="1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justify"/>
    </xf>
    <xf numFmtId="0" fontId="37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36" fillId="0" borderId="0" xfId="0" applyFont="1" applyAlignment="1">
      <alignment vertical="center"/>
    </xf>
    <xf numFmtId="10" fontId="4" fillId="25" borderId="1" xfId="0" applyNumberFormat="1" applyFont="1" applyFill="1" applyBorder="1" applyAlignment="1" applyProtection="1">
      <alignment horizontal="center" vertical="center" wrapText="1"/>
      <protection locked="0"/>
    </xf>
    <xf numFmtId="10" fontId="4" fillId="25" borderId="2" xfId="0" applyNumberFormat="1" applyFont="1" applyFill="1" applyBorder="1" applyAlignment="1" applyProtection="1">
      <alignment horizontal="center" vertical="center" wrapText="1"/>
      <protection locked="0"/>
    </xf>
    <xf numFmtId="0" fontId="36" fillId="25" borderId="19" xfId="0" applyFont="1" applyFill="1" applyBorder="1" applyAlignment="1">
      <alignment vertical="center"/>
    </xf>
    <xf numFmtId="0" fontId="0" fillId="26" borderId="0" xfId="0" applyFill="1"/>
    <xf numFmtId="0" fontId="27" fillId="26" borderId="1" xfId="0" applyFont="1" applyFill="1" applyBorder="1"/>
    <xf numFmtId="0" fontId="0" fillId="0" borderId="1" xfId="0" applyBorder="1"/>
    <xf numFmtId="169" fontId="0" fillId="0" borderId="0" xfId="0" applyNumberFormat="1"/>
    <xf numFmtId="169" fontId="0" fillId="0" borderId="1" xfId="0" applyNumberFormat="1" applyBorder="1"/>
    <xf numFmtId="0" fontId="27" fillId="0" borderId="1" xfId="0" applyFont="1" applyBorder="1"/>
    <xf numFmtId="0" fontId="39" fillId="26" borderId="1" xfId="0" applyFont="1" applyFill="1" applyBorder="1"/>
    <xf numFmtId="169" fontId="39" fillId="26" borderId="1" xfId="0" applyNumberFormat="1" applyFont="1" applyFill="1" applyBorder="1"/>
    <xf numFmtId="0" fontId="28" fillId="0" borderId="1" xfId="0" applyFont="1" applyBorder="1"/>
    <xf numFmtId="9" fontId="0" fillId="6" borderId="1" xfId="0" applyNumberFormat="1" applyFill="1" applyBorder="1"/>
    <xf numFmtId="0" fontId="37" fillId="0" borderId="1" xfId="0" applyFont="1" applyBorder="1"/>
    <xf numFmtId="10" fontId="0" fillId="0" borderId="1" xfId="0" applyNumberFormat="1" applyBorder="1"/>
    <xf numFmtId="0" fontId="0" fillId="26" borderId="1" xfId="0" applyFill="1" applyBorder="1"/>
    <xf numFmtId="169" fontId="0" fillId="26" borderId="1" xfId="0" applyNumberFormat="1" applyFill="1" applyBorder="1"/>
    <xf numFmtId="0" fontId="27" fillId="27" borderId="1" xfId="0" applyFont="1" applyFill="1" applyBorder="1"/>
    <xf numFmtId="169" fontId="27" fillId="27" borderId="1" xfId="0" applyNumberFormat="1" applyFont="1" applyFill="1" applyBorder="1"/>
    <xf numFmtId="169" fontId="0" fillId="26" borderId="0" xfId="0" applyNumberFormat="1" applyFill="1"/>
    <xf numFmtId="0" fontId="36" fillId="25" borderId="0" xfId="0" applyFont="1" applyFill="1"/>
    <xf numFmtId="0" fontId="27" fillId="26" borderId="2" xfId="0" applyFont="1" applyFill="1" applyBorder="1"/>
    <xf numFmtId="169" fontId="0" fillId="0" borderId="2" xfId="0" applyNumberFormat="1" applyBorder="1"/>
    <xf numFmtId="169" fontId="0" fillId="26" borderId="2" xfId="0" applyNumberFormat="1" applyFill="1" applyBorder="1"/>
    <xf numFmtId="165" fontId="0" fillId="6" borderId="2" xfId="0" applyNumberFormat="1" applyFill="1" applyBorder="1" applyAlignment="1">
      <alignment horizontal="center" vertical="center"/>
    </xf>
    <xf numFmtId="2" fontId="0" fillId="0" borderId="0" xfId="0" applyNumberFormat="1"/>
    <xf numFmtId="0" fontId="27" fillId="0" borderId="0" xfId="0" applyFont="1"/>
    <xf numFmtId="0" fontId="37" fillId="26" borderId="1" xfId="0" applyFont="1" applyFill="1" applyBorder="1" applyAlignment="1">
      <alignment horizontal="justify" vertical="justify"/>
    </xf>
    <xf numFmtId="169" fontId="0" fillId="26" borderId="1" xfId="0" applyNumberFormat="1" applyFill="1" applyBorder="1" applyAlignment="1">
      <alignment horizontal="justify" vertical="justify"/>
    </xf>
    <xf numFmtId="0" fontId="0" fillId="26" borderId="1" xfId="0" applyFill="1" applyBorder="1" applyAlignment="1">
      <alignment horizontal="justify" vertical="justify"/>
    </xf>
    <xf numFmtId="0" fontId="41" fillId="27" borderId="13" xfId="0" applyFont="1" applyFill="1" applyBorder="1" applyAlignment="1">
      <alignment horizontal="center" vertical="center"/>
    </xf>
    <xf numFmtId="0" fontId="0" fillId="27" borderId="20" xfId="0" applyFill="1" applyBorder="1" applyAlignment="1">
      <alignment horizontal="center" vertical="center"/>
    </xf>
    <xf numFmtId="0" fontId="0" fillId="27" borderId="16" xfId="0" applyFill="1" applyBorder="1" applyAlignment="1">
      <alignment horizontal="center" vertical="center"/>
    </xf>
    <xf numFmtId="169" fontId="42" fillId="27" borderId="15" xfId="0" applyNumberFormat="1" applyFont="1" applyFill="1" applyBorder="1" applyAlignment="1">
      <alignment horizontal="center" vertical="center"/>
    </xf>
    <xf numFmtId="0" fontId="42" fillId="27" borderId="21" xfId="0" applyFont="1" applyFill="1" applyBorder="1" applyAlignment="1">
      <alignment horizontal="center" vertical="center"/>
    </xf>
    <xf numFmtId="0" fontId="42" fillId="27" borderId="18" xfId="0" applyFont="1" applyFill="1" applyBorder="1" applyAlignment="1">
      <alignment horizontal="center" vertical="center"/>
    </xf>
    <xf numFmtId="0" fontId="31" fillId="0" borderId="0" xfId="0" applyFont="1"/>
    <xf numFmtId="0" fontId="0" fillId="0" borderId="0" xfId="0" applyAlignment="1">
      <alignment horizontal="center"/>
    </xf>
    <xf numFmtId="0" fontId="27" fillId="25" borderId="1" xfId="0" applyFont="1" applyFill="1" applyBorder="1"/>
    <xf numFmtId="0" fontId="27" fillId="25" borderId="1" xfId="0" applyFont="1" applyFill="1" applyBorder="1" applyAlignment="1">
      <alignment horizontal="center"/>
    </xf>
    <xf numFmtId="2" fontId="27" fillId="0" borderId="0" xfId="0" applyNumberFormat="1" applyFont="1"/>
    <xf numFmtId="0" fontId="0" fillId="0" borderId="21" xfId="0" applyBorder="1"/>
    <xf numFmtId="0" fontId="27" fillId="25" borderId="26" xfId="0" applyFont="1" applyFill="1" applyBorder="1"/>
    <xf numFmtId="0" fontId="4" fillId="0" borderId="0" xfId="0" applyFont="1" applyAlignment="1" applyProtection="1">
      <alignment horizontal="center" vertical="center"/>
      <protection locked="0"/>
    </xf>
    <xf numFmtId="167" fontId="4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10" fontId="3" fillId="0" borderId="22" xfId="0" applyNumberFormat="1" applyFont="1" applyBorder="1" applyAlignment="1" applyProtection="1">
      <alignment horizontal="center" vertical="center"/>
      <protection locked="0"/>
    </xf>
    <xf numFmtId="0" fontId="27" fillId="25" borderId="9" xfId="0" applyFont="1" applyFill="1" applyBorder="1"/>
    <xf numFmtId="0" fontId="0" fillId="6" borderId="1" xfId="0" applyFill="1" applyBorder="1"/>
    <xf numFmtId="0" fontId="47" fillId="25" borderId="1" xfId="0" applyFont="1" applyFill="1" applyBorder="1"/>
    <xf numFmtId="10" fontId="3" fillId="0" borderId="0" xfId="0" applyNumberFormat="1" applyFont="1" applyAlignment="1" applyProtection="1">
      <alignment horizontal="center" vertical="center"/>
      <protection locked="0"/>
    </xf>
    <xf numFmtId="0" fontId="0" fillId="0" borderId="23" xfId="0" applyBorder="1"/>
    <xf numFmtId="0" fontId="0" fillId="0" borderId="1" xfId="0" applyBorder="1" applyAlignment="1">
      <alignment horizontal="justify" vertical="justify"/>
    </xf>
    <xf numFmtId="0" fontId="49" fillId="0" borderId="1" xfId="0" applyFont="1" applyBorder="1" applyAlignment="1">
      <alignment wrapText="1"/>
    </xf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48" fillId="0" borderId="1" xfId="0" applyFont="1" applyBorder="1" applyAlignment="1">
      <alignment horizontal="center" vertical="center"/>
    </xf>
    <xf numFmtId="10" fontId="0" fillId="0" borderId="5" xfId="0" applyNumberFormat="1" applyBorder="1"/>
    <xf numFmtId="4" fontId="0" fillId="0" borderId="0" xfId="0" applyNumberFormat="1"/>
    <xf numFmtId="0" fontId="27" fillId="13" borderId="22" xfId="0" applyFont="1" applyFill="1" applyBorder="1"/>
    <xf numFmtId="0" fontId="0" fillId="13" borderId="23" xfId="0" applyFill="1" applyBorder="1"/>
    <xf numFmtId="0" fontId="27" fillId="0" borderId="22" xfId="0" applyFont="1" applyBorder="1"/>
    <xf numFmtId="4" fontId="0" fillId="13" borderId="24" xfId="0" applyNumberFormat="1" applyFill="1" applyBorder="1"/>
    <xf numFmtId="10" fontId="0" fillId="6" borderId="19" xfId="0" applyNumberFormat="1" applyFill="1" applyBorder="1"/>
    <xf numFmtId="10" fontId="0" fillId="0" borderId="24" xfId="0" applyNumberFormat="1" applyBorder="1"/>
    <xf numFmtId="2" fontId="27" fillId="13" borderId="23" xfId="0" applyNumberFormat="1" applyFont="1" applyFill="1" applyBorder="1"/>
    <xf numFmtId="2" fontId="27" fillId="13" borderId="24" xfId="0" applyNumberFormat="1" applyFont="1" applyFill="1" applyBorder="1"/>
    <xf numFmtId="0" fontId="37" fillId="0" borderId="1" xfId="0" applyFont="1" applyBorder="1" applyAlignment="1">
      <alignment horizontal="center" vertical="center"/>
    </xf>
    <xf numFmtId="4" fontId="0" fillId="0" borderId="8" xfId="0" applyNumberFormat="1" applyBorder="1"/>
    <xf numFmtId="0" fontId="27" fillId="0" borderId="16" xfId="0" applyFont="1" applyBorder="1"/>
    <xf numFmtId="0" fontId="0" fillId="0" borderId="17" xfId="0" applyBorder="1"/>
    <xf numFmtId="0" fontId="0" fillId="0" borderId="18" xfId="0" applyBorder="1"/>
    <xf numFmtId="10" fontId="0" fillId="6" borderId="27" xfId="0" applyNumberFormat="1" applyFill="1" applyBorder="1"/>
    <xf numFmtId="0" fontId="0" fillId="0" borderId="3" xfId="0" applyBorder="1"/>
    <xf numFmtId="170" fontId="0" fillId="0" borderId="0" xfId="0" applyNumberFormat="1" applyAlignment="1">
      <alignment horizontal="center"/>
    </xf>
    <xf numFmtId="0" fontId="0" fillId="6" borderId="1" xfId="0" applyFill="1" applyBorder="1" applyAlignment="1">
      <alignment horizontal="center"/>
    </xf>
    <xf numFmtId="0" fontId="42" fillId="0" borderId="0" xfId="0" applyFont="1" applyAlignment="1">
      <alignment horizontal="center"/>
    </xf>
    <xf numFmtId="0" fontId="42" fillId="13" borderId="22" xfId="0" applyFont="1" applyFill="1" applyBorder="1" applyAlignment="1">
      <alignment horizontal="center" vertical="center"/>
    </xf>
    <xf numFmtId="0" fontId="42" fillId="13" borderId="1" xfId="0" applyFont="1" applyFill="1" applyBorder="1" applyAlignment="1">
      <alignment horizontal="center"/>
    </xf>
    <xf numFmtId="0" fontId="42" fillId="13" borderId="2" xfId="0" applyFont="1" applyFill="1" applyBorder="1"/>
    <xf numFmtId="4" fontId="42" fillId="13" borderId="1" xfId="0" applyNumberFormat="1" applyFont="1" applyFill="1" applyBorder="1" applyAlignment="1">
      <alignment horizontal="center" vertical="center"/>
    </xf>
    <xf numFmtId="4" fontId="42" fillId="13" borderId="2" xfId="0" applyNumberFormat="1" applyFont="1" applyFill="1" applyBorder="1" applyAlignment="1">
      <alignment horizontal="center" vertical="center"/>
    </xf>
    <xf numFmtId="0" fontId="42" fillId="27" borderId="28" xfId="0" applyFont="1" applyFill="1" applyBorder="1"/>
    <xf numFmtId="4" fontId="42" fillId="27" borderId="29" xfId="0" applyNumberFormat="1" applyFont="1" applyFill="1" applyBorder="1" applyAlignment="1">
      <alignment horizontal="center" vertical="center"/>
    </xf>
    <xf numFmtId="0" fontId="27" fillId="25" borderId="8" xfId="0" applyFont="1" applyFill="1" applyBorder="1" applyAlignment="1">
      <alignment horizontal="center"/>
    </xf>
    <xf numFmtId="0" fontId="27" fillId="25" borderId="8" xfId="0" applyFont="1" applyFill="1" applyBorder="1"/>
    <xf numFmtId="0" fontId="0" fillId="29" borderId="23" xfId="0" applyFill="1" applyBorder="1"/>
    <xf numFmtId="0" fontId="0" fillId="29" borderId="24" xfId="0" applyFill="1" applyBorder="1"/>
    <xf numFmtId="0" fontId="27" fillId="29" borderId="22" xfId="0" applyFont="1" applyFill="1" applyBorder="1"/>
    <xf numFmtId="0" fontId="27" fillId="29" borderId="24" xfId="0" applyFont="1" applyFill="1" applyBorder="1"/>
    <xf numFmtId="0" fontId="30" fillId="0" borderId="1" xfId="0" applyFont="1" applyBorder="1"/>
    <xf numFmtId="0" fontId="30" fillId="0" borderId="2" xfId="0" applyFont="1" applyBorder="1"/>
    <xf numFmtId="4" fontId="31" fillId="0" borderId="2" xfId="0" applyNumberFormat="1" applyFont="1" applyBorder="1"/>
    <xf numFmtId="0" fontId="30" fillId="27" borderId="28" xfId="0" applyFont="1" applyFill="1" applyBorder="1" applyAlignment="1">
      <alignment horizontal="center"/>
    </xf>
    <xf numFmtId="4" fontId="30" fillId="27" borderId="33" xfId="0" applyNumberFormat="1" applyFont="1" applyFill="1" applyBorder="1" applyAlignment="1">
      <alignment horizontal="center"/>
    </xf>
    <xf numFmtId="4" fontId="30" fillId="27" borderId="29" xfId="0" applyNumberFormat="1" applyFont="1" applyFill="1" applyBorder="1" applyAlignment="1">
      <alignment horizontal="center"/>
    </xf>
    <xf numFmtId="0" fontId="0" fillId="6" borderId="6" xfId="0" applyFill="1" applyBorder="1"/>
    <xf numFmtId="0" fontId="36" fillId="0" borderId="19" xfId="0" applyFont="1" applyBorder="1" applyAlignment="1">
      <alignment horizontal="justify" vertical="justify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10" fontId="3" fillId="10" borderId="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2" xfId="0" applyFont="1" applyFill="1" applyBorder="1" applyAlignment="1">
      <alignment vertical="center" wrapText="1"/>
    </xf>
    <xf numFmtId="44" fontId="0" fillId="0" borderId="2" xfId="2" applyNumberFormat="1" applyFont="1" applyBorder="1" applyAlignment="1" applyProtection="1">
      <alignment vertical="center"/>
    </xf>
    <xf numFmtId="0" fontId="51" fillId="30" borderId="19" xfId="0" applyFont="1" applyFill="1" applyBorder="1" applyAlignment="1">
      <alignment horizontal="center" vertical="center"/>
    </xf>
    <xf numFmtId="0" fontId="54" fillId="30" borderId="25" xfId="0" applyFont="1" applyFill="1" applyBorder="1" applyAlignment="1">
      <alignment horizontal="center" vertical="center"/>
    </xf>
    <xf numFmtId="0" fontId="54" fillId="0" borderId="19" xfId="0" applyFont="1" applyBorder="1" applyAlignment="1">
      <alignment horizontal="justify" vertical="justify"/>
    </xf>
    <xf numFmtId="0" fontId="47" fillId="0" borderId="34" xfId="0" applyFont="1" applyBorder="1" applyAlignment="1">
      <alignment horizontal="justify" vertical="justify"/>
    </xf>
    <xf numFmtId="0" fontId="30" fillId="16" borderId="0" xfId="0" applyFont="1" applyFill="1" applyAlignment="1">
      <alignment horizontal="justify" textRotation="255"/>
    </xf>
    <xf numFmtId="0" fontId="31" fillId="0" borderId="0" xfId="0" applyFont="1"/>
    <xf numFmtId="0" fontId="0" fillId="4" borderId="9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9" xfId="0" applyBorder="1" applyAlignment="1">
      <alignment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64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10" fontId="0" fillId="0" borderId="2" xfId="0" applyNumberFormat="1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165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7" borderId="3" xfId="0" applyNumberFormat="1" applyFont="1" applyFill="1" applyBorder="1" applyAlignment="1" applyProtection="1">
      <alignment horizontal="center" vertical="center" wrapText="1"/>
      <protection locked="0"/>
    </xf>
    <xf numFmtId="165" fontId="4" fillId="7" borderId="4" xfId="0" applyNumberFormat="1" applyFont="1" applyFill="1" applyBorder="1" applyAlignment="1" applyProtection="1">
      <alignment horizontal="center" vertical="center" wrapText="1"/>
      <protection locked="0"/>
    </xf>
    <xf numFmtId="165" fontId="4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 applyProtection="1">
      <alignment horizontal="center" vertical="center" wrapText="1"/>
      <protection locked="0"/>
    </xf>
    <xf numFmtId="0" fontId="4" fillId="4" borderId="4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5" fontId="4" fillId="6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5" fontId="4" fillId="8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7" borderId="1" xfId="0" applyNumberFormat="1" applyFont="1" applyFill="1" applyBorder="1" applyAlignment="1" applyProtection="1">
      <alignment horizontal="center" vertical="center" wrapText="1"/>
      <protection locked="0"/>
    </xf>
    <xf numFmtId="14" fontId="4" fillId="7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4" fillId="9" borderId="1" xfId="0" applyFont="1" applyFill="1" applyBorder="1" applyAlignment="1" applyProtection="1">
      <alignment horizontal="center" vertical="center" wrapText="1"/>
      <protection locked="0" hidden="1"/>
    </xf>
    <xf numFmtId="169" fontId="7" fillId="0" borderId="2" xfId="0" applyNumberFormat="1" applyFont="1" applyBorder="1" applyAlignment="1" applyProtection="1">
      <alignment horizontal="center" vertical="center" wrapText="1"/>
      <protection locked="0"/>
    </xf>
    <xf numFmtId="169" fontId="7" fillId="0" borderId="3" xfId="0" applyNumberFormat="1" applyFont="1" applyBorder="1" applyAlignment="1" applyProtection="1">
      <alignment horizontal="center" vertical="center" wrapText="1"/>
      <protection locked="0"/>
    </xf>
    <xf numFmtId="169" fontId="7" fillId="0" borderId="4" xfId="0" applyNumberFormat="1" applyFont="1" applyBorder="1" applyAlignment="1" applyProtection="1">
      <alignment horizontal="center" vertical="center" wrapText="1"/>
      <protection locked="0"/>
    </xf>
    <xf numFmtId="1" fontId="4" fillId="2" borderId="2" xfId="0" applyNumberFormat="1" applyFont="1" applyFill="1" applyBorder="1" applyAlignment="1" applyProtection="1">
      <alignment horizontal="center" vertical="center"/>
      <protection locked="0"/>
    </xf>
    <xf numFmtId="1" fontId="4" fillId="2" borderId="3" xfId="0" applyNumberFormat="1" applyFont="1" applyFill="1" applyBorder="1" applyAlignment="1" applyProtection="1">
      <alignment horizontal="center" vertical="center"/>
      <protection locked="0"/>
    </xf>
    <xf numFmtId="1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11" borderId="2" xfId="0" applyFont="1" applyFill="1" applyBorder="1" applyAlignment="1" applyProtection="1">
      <alignment horizontal="left" vertical="center" wrapText="1"/>
      <protection locked="0"/>
    </xf>
    <xf numFmtId="0" fontId="3" fillId="11" borderId="3" xfId="0" applyFont="1" applyFill="1" applyBorder="1" applyAlignment="1" applyProtection="1">
      <alignment horizontal="left" vertical="center" wrapText="1"/>
      <protection locked="0"/>
    </xf>
    <xf numFmtId="0" fontId="3" fillId="12" borderId="2" xfId="0" applyFont="1" applyFill="1" applyBorder="1" applyAlignment="1" applyProtection="1">
      <alignment horizontal="center" vertical="center" wrapText="1"/>
      <protection locked="0"/>
    </xf>
    <xf numFmtId="0" fontId="3" fillId="12" borderId="3" xfId="0" applyFont="1" applyFill="1" applyBorder="1" applyAlignment="1" applyProtection="1">
      <alignment horizontal="center" vertical="center" wrapText="1"/>
      <protection locked="0"/>
    </xf>
    <xf numFmtId="0" fontId="3" fillId="12" borderId="4" xfId="0" applyFont="1" applyFill="1" applyBorder="1" applyAlignment="1" applyProtection="1">
      <alignment horizontal="center" vertical="center" wrapText="1"/>
      <protection locked="0"/>
    </xf>
    <xf numFmtId="1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1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1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10" fontId="3" fillId="10" borderId="10" xfId="0" applyNumberFormat="1" applyFont="1" applyFill="1" applyBorder="1" applyAlignment="1" applyProtection="1">
      <alignment horizontal="center" vertical="center" wrapText="1"/>
      <protection locked="0"/>
    </xf>
    <xf numFmtId="10" fontId="3" fillId="10" borderId="11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2" fillId="16" borderId="34" xfId="0" applyFont="1" applyFill="1" applyBorder="1" applyAlignment="1" applyProtection="1">
      <alignment horizontal="justify" vertical="justify" wrapText="1"/>
      <protection locked="0"/>
    </xf>
    <xf numFmtId="0" fontId="27" fillId="16" borderId="35" xfId="0" applyFont="1" applyFill="1" applyBorder="1" applyAlignment="1">
      <alignment horizontal="justify" vertical="justify" wrapText="1"/>
    </xf>
    <xf numFmtId="0" fontId="27" fillId="16" borderId="27" xfId="0" applyFont="1" applyFill="1" applyBorder="1" applyAlignment="1">
      <alignment horizontal="justify" vertical="justify" wrapText="1"/>
    </xf>
    <xf numFmtId="0" fontId="4" fillId="0" borderId="2" xfId="2" applyFont="1" applyBorder="1" applyAlignment="1" applyProtection="1">
      <alignment horizontal="center" vertical="center" wrapText="1"/>
      <protection locked="0"/>
    </xf>
    <xf numFmtId="0" fontId="4" fillId="0" borderId="3" xfId="2" applyFont="1" applyBorder="1" applyAlignment="1" applyProtection="1">
      <alignment horizontal="center" vertical="center" wrapText="1"/>
      <protection locked="0"/>
    </xf>
    <xf numFmtId="0" fontId="4" fillId="0" borderId="4" xfId="2" applyFont="1" applyBorder="1" applyAlignment="1" applyProtection="1">
      <alignment horizontal="center" vertical="center" wrapText="1"/>
      <protection locked="0"/>
    </xf>
    <xf numFmtId="0" fontId="3" fillId="12" borderId="1" xfId="0" applyFont="1" applyFill="1" applyBorder="1" applyAlignment="1" applyProtection="1">
      <alignment horizontal="center" vertical="center" wrapText="1"/>
      <protection locked="0"/>
    </xf>
    <xf numFmtId="0" fontId="3" fillId="13" borderId="1" xfId="0" applyFont="1" applyFill="1" applyBorder="1" applyAlignment="1" applyProtection="1">
      <alignment horizontal="center" vertical="center" wrapText="1"/>
      <protection locked="0"/>
    </xf>
    <xf numFmtId="167" fontId="3" fillId="13" borderId="1" xfId="0" applyNumberFormat="1" applyFont="1" applyFill="1" applyBorder="1" applyAlignment="1" applyProtection="1">
      <alignment horizontal="center" vertical="center" wrapText="1"/>
      <protection locked="0"/>
    </xf>
    <xf numFmtId="167" fontId="0" fillId="6" borderId="2" xfId="0" applyNumberFormat="1" applyFill="1" applyBorder="1" applyAlignment="1">
      <alignment horizontal="center" vertical="center"/>
    </xf>
    <xf numFmtId="167" fontId="0" fillId="6" borderId="3" xfId="0" applyNumberFormat="1" applyFill="1" applyBorder="1" applyAlignment="1">
      <alignment horizontal="center" vertical="center"/>
    </xf>
    <xf numFmtId="167" fontId="0" fillId="6" borderId="4" xfId="0" applyNumberFormat="1" applyFill="1" applyBorder="1" applyAlignment="1">
      <alignment horizontal="center" vertical="center"/>
    </xf>
    <xf numFmtId="0" fontId="4" fillId="7" borderId="1" xfId="2" applyFont="1" applyFill="1" applyBorder="1" applyAlignment="1" applyProtection="1">
      <alignment horizontal="center" vertical="center" wrapText="1"/>
      <protection locked="0"/>
    </xf>
    <xf numFmtId="171" fontId="4" fillId="9" borderId="1" xfId="2" applyNumberFormat="1" applyFont="1" applyFill="1" applyBorder="1" applyAlignment="1" applyProtection="1">
      <alignment horizontal="center" vertical="center" wrapText="1"/>
      <protection locked="0"/>
    </xf>
    <xf numFmtId="1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Border="1" applyAlignment="1" applyProtection="1">
      <alignment horizontal="center" vertical="center" wrapText="1"/>
      <protection locked="0"/>
    </xf>
    <xf numFmtId="0" fontId="4" fillId="6" borderId="1" xfId="2" applyFont="1" applyFill="1" applyBorder="1" applyAlignment="1" applyProtection="1">
      <alignment horizontal="center" vertical="center" wrapText="1"/>
      <protection locked="0"/>
    </xf>
    <xf numFmtId="0" fontId="3" fillId="11" borderId="4" xfId="0" applyFont="1" applyFill="1" applyBorder="1" applyAlignment="1" applyProtection="1">
      <alignment horizontal="left" vertical="center" wrapText="1"/>
      <protection locked="0"/>
    </xf>
    <xf numFmtId="0" fontId="9" fillId="13" borderId="1" xfId="0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10" fontId="4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53" fillId="16" borderId="13" xfId="0" applyFont="1" applyFill="1" applyBorder="1" applyAlignment="1" applyProtection="1">
      <alignment horizontal="justify" vertical="center"/>
      <protection locked="0"/>
    </xf>
    <xf numFmtId="0" fontId="0" fillId="16" borderId="14" xfId="0" applyFill="1" applyBorder="1" applyAlignment="1">
      <alignment horizontal="justify" vertical="center"/>
    </xf>
    <xf numFmtId="0" fontId="0" fillId="16" borderId="15" xfId="0" applyFill="1" applyBorder="1" applyAlignment="1">
      <alignment horizontal="justify" vertical="center"/>
    </xf>
    <xf numFmtId="0" fontId="0" fillId="16" borderId="20" xfId="0" applyFill="1" applyBorder="1" applyAlignment="1">
      <alignment horizontal="justify" vertical="center"/>
    </xf>
    <xf numFmtId="0" fontId="0" fillId="16" borderId="0" xfId="0" applyFill="1" applyAlignment="1">
      <alignment horizontal="justify" vertical="center"/>
    </xf>
    <xf numFmtId="0" fontId="0" fillId="16" borderId="21" xfId="0" applyFill="1" applyBorder="1" applyAlignment="1">
      <alignment horizontal="justify" vertical="center"/>
    </xf>
    <xf numFmtId="0" fontId="0" fillId="16" borderId="16" xfId="0" applyFill="1" applyBorder="1" applyAlignment="1">
      <alignment horizontal="justify" vertical="center"/>
    </xf>
    <xf numFmtId="0" fontId="0" fillId="16" borderId="17" xfId="0" applyFill="1" applyBorder="1" applyAlignment="1">
      <alignment horizontal="justify" vertical="center"/>
    </xf>
    <xf numFmtId="0" fontId="0" fillId="16" borderId="18" xfId="0" applyFill="1" applyBorder="1" applyAlignment="1">
      <alignment horizontal="justify" vertical="center"/>
    </xf>
    <xf numFmtId="0" fontId="4" fillId="25" borderId="2" xfId="0" applyFont="1" applyFill="1" applyBorder="1" applyAlignment="1" applyProtection="1">
      <alignment horizontal="center" vertical="center" wrapText="1"/>
      <protection locked="0"/>
    </xf>
    <xf numFmtId="0" fontId="4" fillId="25" borderId="3" xfId="0" applyFont="1" applyFill="1" applyBorder="1" applyAlignment="1" applyProtection="1">
      <alignment horizontal="center" vertical="center" wrapText="1"/>
      <protection locked="0"/>
    </xf>
    <xf numFmtId="0" fontId="4" fillId="25" borderId="4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32" fillId="4" borderId="2" xfId="0" applyFont="1" applyFill="1" applyBorder="1" applyAlignment="1">
      <alignment horizontal="justify" vertical="justify"/>
    </xf>
    <xf numFmtId="0" fontId="32" fillId="0" borderId="4" xfId="0" applyFont="1" applyBorder="1" applyAlignment="1">
      <alignment horizontal="justify" vertical="justify"/>
    </xf>
    <xf numFmtId="0" fontId="25" fillId="5" borderId="13" xfId="2" applyFont="1" applyFill="1" applyBorder="1" applyAlignment="1" applyProtection="1">
      <alignment horizontal="justify" vertical="justify"/>
      <protection locked="0"/>
    </xf>
    <xf numFmtId="0" fontId="26" fillId="0" borderId="14" xfId="0" applyFont="1" applyBorder="1" applyAlignment="1">
      <alignment horizontal="justify" vertical="justify"/>
    </xf>
    <xf numFmtId="0" fontId="26" fillId="0" borderId="15" xfId="0" applyFont="1" applyBorder="1" applyAlignment="1">
      <alignment horizontal="justify" vertical="justify"/>
    </xf>
    <xf numFmtId="0" fontId="26" fillId="0" borderId="16" xfId="0" applyFont="1" applyBorder="1" applyAlignment="1">
      <alignment horizontal="justify" vertical="justify"/>
    </xf>
    <xf numFmtId="0" fontId="26" fillId="0" borderId="17" xfId="0" applyFont="1" applyBorder="1" applyAlignment="1">
      <alignment horizontal="justify" vertical="justify"/>
    </xf>
    <xf numFmtId="0" fontId="26" fillId="0" borderId="18" xfId="0" applyFont="1" applyBorder="1" applyAlignment="1">
      <alignment horizontal="justify" vertical="justify"/>
    </xf>
    <xf numFmtId="0" fontId="0" fillId="13" borderId="3" xfId="0" applyFill="1" applyBorder="1" applyAlignment="1">
      <alignment vertical="center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169" fontId="3" fillId="0" borderId="22" xfId="0" applyNumberFormat="1" applyFont="1" applyBorder="1" applyAlignment="1" applyProtection="1">
      <alignment horizontal="center" vertical="center"/>
      <protection locked="0"/>
    </xf>
    <xf numFmtId="169" fontId="3" fillId="0" borderId="23" xfId="0" applyNumberFormat="1" applyFont="1" applyBorder="1" applyAlignment="1" applyProtection="1">
      <alignment horizontal="center" vertical="center"/>
      <protection locked="0"/>
    </xf>
    <xf numFmtId="0" fontId="4" fillId="0" borderId="22" xfId="0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3" fillId="11" borderId="1" xfId="0" applyFont="1" applyFill="1" applyBorder="1" applyAlignment="1" applyProtection="1">
      <alignment horizontal="left" vertical="center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24" fillId="29" borderId="22" xfId="0" applyFont="1" applyFill="1" applyBorder="1" applyAlignment="1" applyProtection="1">
      <alignment horizontal="center" vertical="center" wrapText="1"/>
      <protection locked="0"/>
    </xf>
    <xf numFmtId="0" fontId="24" fillId="29" borderId="23" xfId="0" applyFont="1" applyFill="1" applyBorder="1" applyAlignment="1" applyProtection="1">
      <alignment horizontal="center" vertical="center" wrapText="1"/>
      <protection locked="0"/>
    </xf>
    <xf numFmtId="0" fontId="24" fillId="29" borderId="24" xfId="0" applyFont="1" applyFill="1" applyBorder="1" applyAlignment="1" applyProtection="1">
      <alignment horizontal="center" vertical="center" wrapText="1"/>
      <protection locked="0"/>
    </xf>
    <xf numFmtId="0" fontId="3" fillId="28" borderId="22" xfId="0" applyFont="1" applyFill="1" applyBorder="1" applyAlignment="1" applyProtection="1">
      <alignment horizontal="center" vertical="center"/>
      <protection locked="0"/>
    </xf>
    <xf numFmtId="0" fontId="3" fillId="28" borderId="23" xfId="0" applyFont="1" applyFill="1" applyBorder="1" applyAlignment="1" applyProtection="1">
      <alignment horizontal="center" vertical="center"/>
      <protection locked="0"/>
    </xf>
    <xf numFmtId="0" fontId="3" fillId="28" borderId="24" xfId="0" applyFont="1" applyFill="1" applyBorder="1" applyAlignment="1" applyProtection="1">
      <alignment horizontal="center" vertical="center"/>
      <protection locked="0"/>
    </xf>
    <xf numFmtId="0" fontId="3" fillId="13" borderId="2" xfId="0" applyFont="1" applyFill="1" applyBorder="1" applyAlignment="1" applyProtection="1">
      <alignment horizontal="center" vertical="center" wrapText="1"/>
      <protection locked="0"/>
    </xf>
    <xf numFmtId="0" fontId="3" fillId="13" borderId="3" xfId="0" applyFont="1" applyFill="1" applyBorder="1" applyAlignment="1" applyProtection="1">
      <alignment horizontal="center" vertical="center" wrapText="1"/>
      <protection locked="0"/>
    </xf>
    <xf numFmtId="0" fontId="3" fillId="13" borderId="4" xfId="0" applyFont="1" applyFill="1" applyBorder="1" applyAlignment="1" applyProtection="1">
      <alignment horizontal="center" vertical="center" wrapText="1"/>
      <protection locked="0"/>
    </xf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0" fontId="3" fillId="0" borderId="0" xfId="0" applyNumberFormat="1" applyFont="1" applyAlignment="1" applyProtection="1">
      <alignment horizontal="center" vertical="center"/>
      <protection locked="0"/>
    </xf>
    <xf numFmtId="169" fontId="4" fillId="0" borderId="0" xfId="0" applyNumberFormat="1" applyFont="1" applyAlignment="1" applyProtection="1">
      <alignment horizontal="center" vertical="center"/>
      <protection locked="0"/>
    </xf>
    <xf numFmtId="9" fontId="4" fillId="6" borderId="23" xfId="0" applyNumberFormat="1" applyFont="1" applyFill="1" applyBorder="1" applyAlignment="1" applyProtection="1">
      <alignment horizontal="center" vertical="center"/>
      <protection locked="0"/>
    </xf>
    <xf numFmtId="9" fontId="4" fillId="6" borderId="24" xfId="0" applyNumberFormat="1" applyFont="1" applyFill="1" applyBorder="1" applyAlignment="1" applyProtection="1">
      <alignment horizontal="center" vertical="center"/>
      <protection locked="0"/>
    </xf>
    <xf numFmtId="10" fontId="4" fillId="6" borderId="23" xfId="0" applyNumberFormat="1" applyFont="1" applyFill="1" applyBorder="1" applyAlignment="1" applyProtection="1">
      <alignment horizontal="center" vertical="center"/>
      <protection locked="0"/>
    </xf>
    <xf numFmtId="10" fontId="4" fillId="6" borderId="24" xfId="0" applyNumberFormat="1" applyFont="1" applyFill="1" applyBorder="1" applyAlignment="1" applyProtection="1">
      <alignment horizontal="center" vertical="center"/>
      <protection locked="0"/>
    </xf>
    <xf numFmtId="10" fontId="3" fillId="0" borderId="23" xfId="0" applyNumberFormat="1" applyFont="1" applyBorder="1" applyAlignment="1" applyProtection="1">
      <alignment horizontal="center" vertical="center"/>
      <protection locked="0"/>
    </xf>
    <xf numFmtId="10" fontId="3" fillId="0" borderId="24" xfId="0" applyNumberFormat="1" applyFont="1" applyBorder="1" applyAlignment="1" applyProtection="1">
      <alignment horizontal="center" vertical="center"/>
      <protection locked="0"/>
    </xf>
    <xf numFmtId="10" fontId="4" fillId="0" borderId="23" xfId="0" applyNumberFormat="1" applyFont="1" applyBorder="1" applyAlignment="1" applyProtection="1">
      <alignment horizontal="center" vertical="center"/>
      <protection locked="0"/>
    </xf>
    <xf numFmtId="10" fontId="4" fillId="0" borderId="24" xfId="0" applyNumberFormat="1" applyFont="1" applyBorder="1" applyAlignment="1" applyProtection="1">
      <alignment horizontal="center" vertical="center"/>
      <protection locked="0"/>
    </xf>
    <xf numFmtId="169" fontId="3" fillId="0" borderId="24" xfId="0" applyNumberFormat="1" applyFont="1" applyBorder="1" applyAlignment="1" applyProtection="1">
      <alignment horizontal="center" vertical="center"/>
      <protection locked="0"/>
    </xf>
    <xf numFmtId="169" fontId="4" fillId="0" borderId="22" xfId="0" applyNumberFormat="1" applyFont="1" applyBorder="1" applyAlignment="1" applyProtection="1">
      <alignment horizontal="center" vertical="center"/>
      <protection locked="0"/>
    </xf>
    <xf numFmtId="169" fontId="4" fillId="0" borderId="23" xfId="0" applyNumberFormat="1" applyFont="1" applyBorder="1" applyAlignment="1" applyProtection="1">
      <alignment horizontal="center" vertical="center"/>
      <protection locked="0"/>
    </xf>
    <xf numFmtId="10" fontId="3" fillId="0" borderId="16" xfId="0" applyNumberFormat="1" applyFont="1" applyBorder="1" applyAlignment="1" applyProtection="1">
      <alignment horizontal="center" vertical="center"/>
      <protection locked="0"/>
    </xf>
    <xf numFmtId="10" fontId="3" fillId="0" borderId="17" xfId="0" applyNumberFormat="1" applyFont="1" applyBorder="1" applyAlignment="1" applyProtection="1">
      <alignment horizontal="center" vertical="center"/>
      <protection locked="0"/>
    </xf>
    <xf numFmtId="10" fontId="3" fillId="0" borderId="18" xfId="0" applyNumberFormat="1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4" xfId="0" applyFont="1" applyBorder="1" applyAlignment="1" applyProtection="1">
      <alignment horizontal="center" vertical="center"/>
      <protection locked="0"/>
    </xf>
    <xf numFmtId="0" fontId="4" fillId="0" borderId="22" xfId="0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vertical="center"/>
      <protection locked="0"/>
    </xf>
    <xf numFmtId="0" fontId="4" fillId="0" borderId="24" xfId="0" applyFont="1" applyBorder="1" applyAlignment="1" applyProtection="1">
      <alignment vertical="center"/>
      <protection locked="0"/>
    </xf>
    <xf numFmtId="10" fontId="4" fillId="0" borderId="0" xfId="0" applyNumberFormat="1" applyFont="1" applyAlignment="1" applyProtection="1">
      <alignment horizontal="center" vertical="center"/>
      <protection locked="0"/>
    </xf>
    <xf numFmtId="169" fontId="3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horizontal="center" vertical="center" wrapText="1"/>
      <protection locked="0"/>
    </xf>
    <xf numFmtId="9" fontId="4" fillId="0" borderId="0" xfId="0" applyNumberFormat="1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0" fontId="0" fillId="0" borderId="0" xfId="0" applyNumberFormat="1" applyAlignment="1">
      <alignment horizontal="center" vertical="center"/>
    </xf>
    <xf numFmtId="0" fontId="46" fillId="0" borderId="0" xfId="0" applyFont="1" applyAlignment="1" applyProtection="1">
      <alignment horizontal="center" vertical="center"/>
      <protection locked="0"/>
    </xf>
    <xf numFmtId="0" fontId="46" fillId="0" borderId="14" xfId="0" applyFont="1" applyBorder="1" applyAlignment="1" applyProtection="1">
      <alignment horizontal="justify" vertical="justify"/>
      <protection locked="0"/>
    </xf>
    <xf numFmtId="0" fontId="0" fillId="0" borderId="0" xfId="0" applyAlignment="1">
      <alignment horizontal="justify" vertical="justify"/>
    </xf>
    <xf numFmtId="10" fontId="0" fillId="0" borderId="23" xfId="0" applyNumberFormat="1" applyBorder="1" applyAlignment="1">
      <alignment horizontal="center" vertical="center"/>
    </xf>
    <xf numFmtId="10" fontId="0" fillId="0" borderId="24" xfId="0" applyNumberFormat="1" applyBorder="1" applyAlignment="1">
      <alignment horizontal="center" vertical="center"/>
    </xf>
    <xf numFmtId="0" fontId="11" fillId="15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16" borderId="13" xfId="0" applyFill="1" applyBorder="1" applyAlignment="1">
      <alignment horizontal="justify" vertical="justify"/>
    </xf>
    <xf numFmtId="0" fontId="0" fillId="16" borderId="15" xfId="0" applyFill="1" applyBorder="1" applyAlignment="1">
      <alignment horizontal="justify" vertical="justify"/>
    </xf>
    <xf numFmtId="0" fontId="0" fillId="16" borderId="20" xfId="0" applyFill="1" applyBorder="1" applyAlignment="1">
      <alignment horizontal="justify" vertical="justify"/>
    </xf>
    <xf numFmtId="0" fontId="0" fillId="16" borderId="21" xfId="0" applyFill="1" applyBorder="1" applyAlignment="1">
      <alignment horizontal="justify" vertical="justify"/>
    </xf>
    <xf numFmtId="0" fontId="0" fillId="16" borderId="16" xfId="0" applyFill="1" applyBorder="1" applyAlignment="1">
      <alignment horizontal="justify" vertical="justify"/>
    </xf>
    <xf numFmtId="0" fontId="0" fillId="16" borderId="18" xfId="0" applyFill="1" applyBorder="1" applyAlignment="1">
      <alignment horizontal="justify" vertical="justify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0" fillId="3" borderId="1" xfId="0" applyFill="1" applyBorder="1" applyAlignment="1">
      <alignment horizontal="left" vertical="center"/>
    </xf>
    <xf numFmtId="17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64" fontId="0" fillId="3" borderId="1" xfId="0" applyNumberFormat="1" applyFill="1" applyBorder="1" applyAlignment="1">
      <alignment horizontal="left" vertical="center"/>
    </xf>
    <xf numFmtId="0" fontId="0" fillId="3" borderId="1" xfId="0" applyFill="1" applyBorder="1"/>
    <xf numFmtId="0" fontId="0" fillId="3" borderId="1" xfId="0" applyFill="1" applyBorder="1" applyAlignment="1">
      <alignment horizontal="left" vertical="center" wrapText="1"/>
    </xf>
    <xf numFmtId="0" fontId="27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9" fillId="9" borderId="3" xfId="0" applyFont="1" applyFill="1" applyBorder="1" applyAlignment="1">
      <alignment horizontal="center" vertical="center"/>
    </xf>
    <xf numFmtId="0" fontId="11" fillId="18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2" xfId="0" applyFill="1" applyBorder="1" applyAlignment="1">
      <alignment horizontal="right" vertical="center"/>
    </xf>
    <xf numFmtId="0" fontId="0" fillId="3" borderId="4" xfId="0" applyFill="1" applyBorder="1" applyAlignment="1">
      <alignment horizontal="right" vertical="center"/>
    </xf>
    <xf numFmtId="1" fontId="15" fillId="0" borderId="0" xfId="0" applyNumberFormat="1" applyFont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1" fontId="15" fillId="2" borderId="10" xfId="0" applyNumberFormat="1" applyFont="1" applyFill="1" applyBorder="1" applyAlignment="1">
      <alignment horizontal="center" vertical="center" wrapText="1"/>
    </xf>
    <xf numFmtId="1" fontId="15" fillId="2" borderId="1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0" fillId="2" borderId="1" xfId="0" applyFill="1" applyBorder="1"/>
    <xf numFmtId="0" fontId="0" fillId="4" borderId="3" xfId="0" applyFill="1" applyBorder="1"/>
    <xf numFmtId="0" fontId="11" fillId="2" borderId="1" xfId="0" applyFont="1" applyFill="1" applyBorder="1" applyAlignment="1">
      <alignment horizontal="left" vertical="center" wrapText="1"/>
    </xf>
    <xf numFmtId="0" fontId="11" fillId="19" borderId="1" xfId="0" applyFont="1" applyFill="1" applyBorder="1" applyAlignment="1">
      <alignment horizontal="right" vertical="center" wrapText="1"/>
    </xf>
    <xf numFmtId="168" fontId="0" fillId="0" borderId="3" xfId="0" applyNumberFormat="1" applyBorder="1" applyAlignment="1">
      <alignment horizontal="left" vertical="center"/>
    </xf>
    <xf numFmtId="168" fontId="0" fillId="0" borderId="4" xfId="0" applyNumberFormat="1" applyBorder="1" applyAlignment="1">
      <alignment horizontal="left" vertical="center"/>
    </xf>
    <xf numFmtId="0" fontId="0" fillId="3" borderId="5" xfId="0" applyFill="1" applyBorder="1"/>
    <xf numFmtId="0" fontId="19" fillId="2" borderId="6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1" fillId="19" borderId="1" xfId="0" applyFont="1" applyFill="1" applyBorder="1" applyAlignment="1">
      <alignment horizontal="right" vertical="center"/>
    </xf>
    <xf numFmtId="0" fontId="11" fillId="19" borderId="3" xfId="0" applyFont="1" applyFill="1" applyBorder="1" applyAlignment="1">
      <alignment horizontal="right" vertical="center"/>
    </xf>
    <xf numFmtId="0" fontId="11" fillId="19" borderId="4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4" borderId="2" xfId="0" applyFill="1" applyBorder="1" applyAlignment="1">
      <alignment horizontal="right" vertical="center"/>
    </xf>
    <xf numFmtId="0" fontId="0" fillId="4" borderId="3" xfId="0" applyFill="1" applyBorder="1" applyAlignment="1">
      <alignment horizontal="right" vertical="center"/>
    </xf>
    <xf numFmtId="10" fontId="0" fillId="4" borderId="3" xfId="0" applyNumberFormat="1" applyFill="1" applyBorder="1" applyAlignment="1">
      <alignment horizontal="left" vertical="center"/>
    </xf>
    <xf numFmtId="10" fontId="0" fillId="4" borderId="4" xfId="0" applyNumberForma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right" vertical="center"/>
    </xf>
    <xf numFmtId="10" fontId="0" fillId="0" borderId="3" xfId="0" applyNumberForma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19" borderId="2" xfId="0" applyFont="1" applyFill="1" applyBorder="1" applyAlignment="1">
      <alignment horizontal="right" vertical="center"/>
    </xf>
    <xf numFmtId="0" fontId="0" fillId="4" borderId="1" xfId="0" applyFill="1" applyBorder="1"/>
    <xf numFmtId="0" fontId="0" fillId="4" borderId="2" xfId="0" applyFill="1" applyBorder="1"/>
    <xf numFmtId="0" fontId="0" fillId="5" borderId="3" xfId="0" applyFill="1" applyBorder="1"/>
    <xf numFmtId="0" fontId="28" fillId="4" borderId="2" xfId="0" applyFont="1" applyFill="1" applyBorder="1" applyAlignment="1">
      <alignment horizontal="left" vertical="center"/>
    </xf>
    <xf numFmtId="0" fontId="28" fillId="4" borderId="3" xfId="0" applyFont="1" applyFill="1" applyBorder="1" applyAlignment="1">
      <alignment horizontal="left" vertical="center"/>
    </xf>
    <xf numFmtId="0" fontId="28" fillId="4" borderId="4" xfId="0" applyFont="1" applyFill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0" fillId="3" borderId="10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0" fillId="3" borderId="11" xfId="0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 wrapText="1"/>
    </xf>
    <xf numFmtId="0" fontId="11" fillId="18" borderId="1" xfId="0" applyFont="1" applyFill="1" applyBorder="1" applyAlignment="1">
      <alignment horizontal="left" vertical="center"/>
    </xf>
    <xf numFmtId="0" fontId="11" fillId="18" borderId="1" xfId="0" applyFont="1" applyFill="1" applyBorder="1" applyAlignment="1">
      <alignment horizontal="left" vertical="center" wrapText="1"/>
    </xf>
    <xf numFmtId="165" fontId="28" fillId="0" borderId="22" xfId="0" applyNumberFormat="1" applyFont="1" applyBorder="1" applyAlignment="1">
      <alignment horizontal="justify" vertical="justify"/>
    </xf>
    <xf numFmtId="0" fontId="28" fillId="0" borderId="23" xfId="0" applyFont="1" applyBorder="1" applyAlignment="1">
      <alignment horizontal="justify" vertical="justify"/>
    </xf>
    <xf numFmtId="0" fontId="28" fillId="0" borderId="24" xfId="0" applyFont="1" applyBorder="1" applyAlignment="1">
      <alignment horizontal="justify" vertical="justify"/>
    </xf>
    <xf numFmtId="0" fontId="43" fillId="20" borderId="1" xfId="0" applyFont="1" applyFill="1" applyBorder="1" applyAlignment="1">
      <alignment horizontal="center" vertical="center" wrapText="1"/>
    </xf>
    <xf numFmtId="0" fontId="44" fillId="20" borderId="1" xfId="0" applyFont="1" applyFill="1" applyBorder="1" applyAlignment="1">
      <alignment horizontal="center" vertical="center" wrapText="1"/>
    </xf>
    <xf numFmtId="0" fontId="40" fillId="26" borderId="13" xfId="0" applyFont="1" applyFill="1" applyBorder="1" applyAlignment="1">
      <alignment horizontal="justify" vertical="justify"/>
    </xf>
    <xf numFmtId="0" fontId="0" fillId="26" borderId="15" xfId="0" applyFill="1" applyBorder="1" applyAlignment="1">
      <alignment horizontal="justify" vertical="justify"/>
    </xf>
    <xf numFmtId="0" fontId="0" fillId="26" borderId="20" xfId="0" applyFill="1" applyBorder="1" applyAlignment="1">
      <alignment horizontal="justify" vertical="justify"/>
    </xf>
    <xf numFmtId="0" fontId="0" fillId="26" borderId="21" xfId="0" applyFill="1" applyBorder="1" applyAlignment="1">
      <alignment horizontal="justify" vertical="justify"/>
    </xf>
    <xf numFmtId="0" fontId="0" fillId="26" borderId="16" xfId="0" applyFill="1" applyBorder="1" applyAlignment="1">
      <alignment horizontal="justify" vertical="justify"/>
    </xf>
    <xf numFmtId="0" fontId="0" fillId="26" borderId="18" xfId="0" applyFill="1" applyBorder="1" applyAlignment="1">
      <alignment horizontal="justify" vertical="justify"/>
    </xf>
    <xf numFmtId="0" fontId="0" fillId="0" borderId="5" xfId="0" applyBorder="1" applyAlignment="1">
      <alignment horizontal="justify" vertical="justify"/>
    </xf>
    <xf numFmtId="0" fontId="0" fillId="0" borderId="6" xfId="0" applyBorder="1" applyAlignment="1">
      <alignment horizontal="justify" vertical="justify"/>
    </xf>
    <xf numFmtId="169" fontId="0" fillId="0" borderId="5" xfId="0" applyNumberFormat="1" applyBorder="1"/>
    <xf numFmtId="0" fontId="0" fillId="0" borderId="6" xfId="0" applyBorder="1"/>
    <xf numFmtId="0" fontId="45" fillId="6" borderId="22" xfId="0" applyFont="1" applyFill="1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27" fillId="0" borderId="2" xfId="0" applyFont="1" applyBorder="1"/>
    <xf numFmtId="0" fontId="0" fillId="0" borderId="3" xfId="0" applyBorder="1"/>
    <xf numFmtId="0" fontId="50" fillId="0" borderId="30" xfId="0" applyFont="1" applyBorder="1" applyAlignment="1">
      <alignment horizontal="center"/>
    </xf>
    <xf numFmtId="0" fontId="50" fillId="0" borderId="31" xfId="0" applyFont="1" applyBorder="1" applyAlignment="1">
      <alignment horizontal="center"/>
    </xf>
    <xf numFmtId="0" fontId="50" fillId="0" borderId="32" xfId="0" applyFont="1" applyBorder="1" applyAlignment="1">
      <alignment horizontal="center"/>
    </xf>
    <xf numFmtId="0" fontId="0" fillId="0" borderId="0" xfId="0"/>
    <xf numFmtId="0" fontId="30" fillId="27" borderId="0" xfId="0" applyFont="1" applyFill="1" applyAlignment="1">
      <alignment horizontal="justify" vertical="justify"/>
    </xf>
  </cellXfs>
  <cellStyles count="3">
    <cellStyle name="Normal" xfId="0" builtinId="0"/>
    <cellStyle name="Porcentagem" xfId="1" builtinId="5"/>
    <cellStyle name="Texto Explicativo" xfId="2" builtinId="53"/>
  </cellStyles>
  <dxfs count="10">
    <dxf>
      <border>
        <left/>
        <vertical/>
        <horizontal/>
      </border>
    </dxf>
    <dxf>
      <fill>
        <patternFill patternType="solid">
          <fgColor theme="0"/>
          <bgColor theme="0"/>
        </patternFill>
      </fill>
    </dxf>
    <dxf>
      <border>
        <left/>
        <vertical/>
        <horizontal/>
      </border>
    </dxf>
    <dxf>
      <fill>
        <patternFill patternType="solid">
          <fgColor theme="0"/>
          <bgColor theme="0"/>
        </patternFill>
      </fill>
    </dxf>
    <dxf>
      <border>
        <left/>
        <vertical/>
        <horizontal/>
      </border>
    </dxf>
    <dxf>
      <fill>
        <patternFill patternType="solid">
          <fgColor theme="0"/>
          <bgColor theme="0"/>
        </patternFill>
      </fill>
    </dxf>
    <dxf>
      <border>
        <left/>
        <vertical/>
        <horizontal/>
      </border>
    </dxf>
    <dxf>
      <fill>
        <patternFill patternType="solid">
          <fgColor theme="0"/>
          <bgColor theme="0"/>
        </patternFill>
      </fill>
    </dxf>
    <dxf>
      <font>
        <color rgb="FFFFFF00"/>
      </font>
    </dxf>
    <dxf>
      <font>
        <color theme="1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Radio" firstButton="1" fmlaLink="$J$21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firstButton="1" fmlaLink="$J$21" lockText="1" noThreeD="1"/>
</file>

<file path=xl/ctrlProps/ctrlProp4.xml><?xml version="1.0" encoding="utf-8"?>
<formControlPr xmlns="http://schemas.microsoft.com/office/spreadsheetml/2009/9/main" objectType="Radio" checked="Checked" lockText="1" noThreeD="1"/>
</file>

<file path=xl/ctrlProps/ctrlProp5.xml><?xml version="1.0" encoding="utf-8"?>
<formControlPr xmlns="http://schemas.microsoft.com/office/spreadsheetml/2009/9/main" objectType="Radio" firstButton="1" fmlaLink="$J$21" lockText="1" noThreeD="1"/>
</file>

<file path=xl/ctrlProps/ctrlProp6.xml><?xml version="1.0" encoding="utf-8"?>
<formControlPr xmlns="http://schemas.microsoft.com/office/spreadsheetml/2009/9/main" objectType="Radio" checked="Checked" lockText="1" noThreeD="1"/>
</file>

<file path=xl/ctrlProps/ctrlProp7.xml><?xml version="1.0" encoding="utf-8"?>
<formControlPr xmlns="http://schemas.microsoft.com/office/spreadsheetml/2009/9/main" objectType="Radio" checked="Checked" firstButton="1" fmlaLink="$J$21" lockText="1" noThreeD="1"/>
</file>

<file path=xl/ctrlProps/ctrlProp8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12700</xdr:colOff>
          <xdr:row>20</xdr:row>
          <xdr:rowOff>0</xdr:rowOff>
        </xdr:from>
        <xdr:to>
          <xdr:col>9</xdr:col>
          <xdr:colOff>279400</xdr:colOff>
          <xdr:row>20</xdr:row>
          <xdr:rowOff>165100</xdr:rowOff>
        </xdr:to>
        <xdr:sp macro="" textlink="">
          <xdr:nvSpPr>
            <xdr:cNvPr id="2049" name="Option 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20</xdr:row>
          <xdr:rowOff>76200</xdr:rowOff>
        </xdr:from>
        <xdr:to>
          <xdr:col>9</xdr:col>
          <xdr:colOff>520700</xdr:colOff>
          <xdr:row>21</xdr:row>
          <xdr:rowOff>152400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12700</xdr:colOff>
          <xdr:row>20</xdr:row>
          <xdr:rowOff>0</xdr:rowOff>
        </xdr:from>
        <xdr:to>
          <xdr:col>9</xdr:col>
          <xdr:colOff>279400</xdr:colOff>
          <xdr:row>20</xdr:row>
          <xdr:rowOff>165100</xdr:rowOff>
        </xdr:to>
        <xdr:sp macro="" textlink="">
          <xdr:nvSpPr>
            <xdr:cNvPr id="4105" name="Option Button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3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20</xdr:row>
          <xdr:rowOff>76200</xdr:rowOff>
        </xdr:from>
        <xdr:to>
          <xdr:col>9</xdr:col>
          <xdr:colOff>520700</xdr:colOff>
          <xdr:row>21</xdr:row>
          <xdr:rowOff>152400</xdr:rowOff>
        </xdr:to>
        <xdr:sp macro="" textlink="">
          <xdr:nvSpPr>
            <xdr:cNvPr id="4106" name="Option Button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3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12700</xdr:colOff>
          <xdr:row>20</xdr:row>
          <xdr:rowOff>0</xdr:rowOff>
        </xdr:from>
        <xdr:to>
          <xdr:col>9</xdr:col>
          <xdr:colOff>279400</xdr:colOff>
          <xdr:row>20</xdr:row>
          <xdr:rowOff>165100</xdr:rowOff>
        </xdr:to>
        <xdr:sp macro="" textlink="">
          <xdr:nvSpPr>
            <xdr:cNvPr id="8193" name="Option Button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4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20</xdr:row>
          <xdr:rowOff>76200</xdr:rowOff>
        </xdr:from>
        <xdr:to>
          <xdr:col>9</xdr:col>
          <xdr:colOff>520700</xdr:colOff>
          <xdr:row>21</xdr:row>
          <xdr:rowOff>152400</xdr:rowOff>
        </xdr:to>
        <xdr:sp macro="" textlink="">
          <xdr:nvSpPr>
            <xdr:cNvPr id="8194" name="Option Butto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4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12700</xdr:colOff>
          <xdr:row>20</xdr:row>
          <xdr:rowOff>0</xdr:rowOff>
        </xdr:from>
        <xdr:to>
          <xdr:col>9</xdr:col>
          <xdr:colOff>279400</xdr:colOff>
          <xdr:row>20</xdr:row>
          <xdr:rowOff>165100</xdr:rowOff>
        </xdr:to>
        <xdr:sp macro="" textlink="">
          <xdr:nvSpPr>
            <xdr:cNvPr id="6154" name="Option Button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5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20</xdr:row>
          <xdr:rowOff>76200</xdr:rowOff>
        </xdr:from>
        <xdr:to>
          <xdr:col>9</xdr:col>
          <xdr:colOff>520700</xdr:colOff>
          <xdr:row>21</xdr:row>
          <xdr:rowOff>152400</xdr:rowOff>
        </xdr:to>
        <xdr:sp macro="" textlink="">
          <xdr:nvSpPr>
            <xdr:cNvPr id="6155" name="Option Button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5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Não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POL%20-%20EQLIC/PROCESSOS/2022/manuten&#231;&#227;o%20predial/Planilha%20de%20Custos%20Base%20corrigid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paração"/>
      <sheetName val="dados"/>
      <sheetName val="Áreas, Produtiv. e Funcionários"/>
      <sheetName val="Dados do Licitante"/>
      <sheetName val="Uniforme"/>
      <sheetName val="Equip + Mat. limpeza + Higiene"/>
      <sheetName val="Retenção Mensal Conta Vinculada"/>
      <sheetName val="Comparação - m² vs Postos"/>
      <sheetName val="Preço por localidade - m²"/>
      <sheetName val="Preço por localidade - Postos"/>
      <sheetName val="Valor Total do Contrato"/>
      <sheetName val="Servente Líder"/>
      <sheetName val="Servente sem Insalubridade"/>
      <sheetName val="Servente20 horas"/>
      <sheetName val="Servente Banheiro 20%"/>
      <sheetName val="Servente Banheiro 40%"/>
      <sheetName val="Limpador Vidros"/>
      <sheetName val="Limpador Vidros COM RISCO"/>
      <sheetName val="Encarregado Residente"/>
      <sheetName val="Simples Nac. - Anexo IV, LC 123"/>
    </sheetNames>
    <sheetDataSet>
      <sheetData sheetId="0">
        <row r="12">
          <cell r="C12" t="str">
            <v>DRF BAURU</v>
          </cell>
        </row>
      </sheetData>
      <sheetData sheetId="1"/>
      <sheetData sheetId="2">
        <row r="1">
          <cell r="B1" t="str">
            <v>Prestação de serviços de limpeza e conservação</v>
          </cell>
        </row>
        <row r="6">
          <cell r="A6" t="str">
            <v>Município(s)/locais da prestação de serviço</v>
          </cell>
        </row>
      </sheetData>
      <sheetData sheetId="3">
        <row r="1">
          <cell r="D1" t="str">
            <v>Prestação de serviços de limpeza e conservação</v>
          </cell>
        </row>
      </sheetData>
      <sheetData sheetId="4">
        <row r="32">
          <cell r="E32">
            <v>105.9</v>
          </cell>
        </row>
      </sheetData>
      <sheetData sheetId="5">
        <row r="132">
          <cell r="E132" t="str">
            <v>% do Mód. 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5">
          <cell r="B35">
            <v>0</v>
          </cell>
          <cell r="C3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2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3.xml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6" Type="http://schemas.openxmlformats.org/officeDocument/2006/relationships/comments" Target="../comments5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E6C0D-2DA4-4297-BC99-6D892671AB61}">
  <sheetPr>
    <pageSetUpPr fitToPage="1"/>
  </sheetPr>
  <dimension ref="A1:R111"/>
  <sheetViews>
    <sheetView tabSelected="1" workbookViewId="0">
      <selection activeCell="N10" sqref="N10"/>
    </sheetView>
  </sheetViews>
  <sheetFormatPr defaultRowHeight="14.5" x14ac:dyDescent="0.35"/>
  <cols>
    <col min="6" max="6" width="11.08984375" customWidth="1"/>
    <col min="7" max="7" width="9.26953125" bestFit="1" customWidth="1"/>
    <col min="9" max="9" width="9.81640625" customWidth="1"/>
    <col min="12" max="12" width="10.36328125" bestFit="1" customWidth="1"/>
    <col min="13" max="13" width="9.81640625" bestFit="1" customWidth="1"/>
  </cols>
  <sheetData>
    <row r="1" spans="1:12" x14ac:dyDescent="0.35">
      <c r="A1" s="277" t="s">
        <v>0</v>
      </c>
      <c r="B1" s="277"/>
      <c r="C1" s="277"/>
      <c r="D1" s="288" t="s">
        <v>174</v>
      </c>
      <c r="E1" s="288"/>
      <c r="F1" s="288"/>
      <c r="G1" s="288"/>
      <c r="H1" s="288"/>
      <c r="I1" s="272" t="s">
        <v>204</v>
      </c>
      <c r="J1" s="272"/>
      <c r="K1" s="3"/>
      <c r="L1" s="3"/>
    </row>
    <row r="2" spans="1:12" x14ac:dyDescent="0.35">
      <c r="A2" s="277" t="s">
        <v>1</v>
      </c>
      <c r="B2" s="277"/>
      <c r="C2" s="277"/>
      <c r="D2" s="288" t="s">
        <v>339</v>
      </c>
      <c r="E2" s="288"/>
      <c r="F2" s="288"/>
      <c r="G2" s="288"/>
      <c r="H2" s="288"/>
      <c r="I2" s="272"/>
      <c r="J2" s="272"/>
      <c r="K2" s="4"/>
      <c r="L2" s="4"/>
    </row>
    <row r="3" spans="1:12" x14ac:dyDescent="0.35">
      <c r="A3" s="277" t="s">
        <v>2</v>
      </c>
      <c r="B3" s="277"/>
      <c r="C3" s="277"/>
      <c r="D3" s="288" t="s">
        <v>329</v>
      </c>
      <c r="E3" s="288"/>
      <c r="F3" s="288"/>
      <c r="G3" s="288"/>
      <c r="H3" s="288"/>
      <c r="I3" s="272"/>
      <c r="J3" s="272"/>
      <c r="K3" s="4"/>
      <c r="L3" s="4"/>
    </row>
    <row r="4" spans="1:12" x14ac:dyDescent="0.35">
      <c r="A4" s="277" t="s">
        <v>3</v>
      </c>
      <c r="B4" s="277"/>
      <c r="C4" s="277"/>
      <c r="D4" s="278">
        <v>44887</v>
      </c>
      <c r="E4" s="278"/>
      <c r="F4" s="278"/>
      <c r="G4" s="1" t="s">
        <v>4</v>
      </c>
      <c r="H4" s="5" t="s">
        <v>330</v>
      </c>
      <c r="I4" s="272"/>
      <c r="J4" s="272"/>
      <c r="K4" s="4"/>
      <c r="L4" s="4"/>
    </row>
    <row r="5" spans="1:12" ht="28.5" customHeight="1" x14ac:dyDescent="0.35">
      <c r="A5" s="279" t="str">
        <f>'[1]Áreas, Produtiv. e Funcionários'!A6:C6</f>
        <v>Município(s)/locais da prestação de serviço</v>
      </c>
      <c r="B5" s="280"/>
      <c r="C5" s="280"/>
      <c r="D5" s="280"/>
      <c r="E5" s="281"/>
      <c r="F5" s="279" t="s">
        <v>334</v>
      </c>
      <c r="G5" s="280"/>
      <c r="H5" s="281"/>
      <c r="I5" s="272"/>
      <c r="J5" s="272"/>
      <c r="K5" s="4"/>
      <c r="L5" s="4"/>
    </row>
    <row r="6" spans="1:12" x14ac:dyDescent="0.35">
      <c r="A6" s="282" t="s">
        <v>184</v>
      </c>
      <c r="B6" s="283"/>
      <c r="C6" s="283"/>
      <c r="D6" s="283"/>
      <c r="E6" s="284"/>
      <c r="F6" s="285">
        <v>0.05</v>
      </c>
      <c r="G6" s="286"/>
      <c r="H6" s="287"/>
      <c r="I6" s="272"/>
      <c r="J6" s="272"/>
      <c r="K6" s="4"/>
      <c r="L6" s="4"/>
    </row>
    <row r="7" spans="1:12" x14ac:dyDescent="0.35">
      <c r="A7" s="4"/>
      <c r="B7" s="4"/>
      <c r="C7" s="4"/>
      <c r="D7" s="4"/>
      <c r="E7" s="4"/>
      <c r="F7" s="4"/>
      <c r="G7" s="4"/>
      <c r="H7" s="4"/>
      <c r="I7" s="272"/>
      <c r="J7" s="272"/>
      <c r="K7" s="3"/>
      <c r="L7" s="3"/>
    </row>
    <row r="8" spans="1:12" ht="25" customHeight="1" x14ac:dyDescent="0.35">
      <c r="A8" s="277" t="s">
        <v>5</v>
      </c>
      <c r="B8" s="277"/>
      <c r="C8" s="277"/>
      <c r="D8" s="277"/>
      <c r="E8" s="293">
        <v>20</v>
      </c>
      <c r="F8" s="294"/>
      <c r="G8" s="294"/>
      <c r="H8" s="295"/>
      <c r="I8" s="272"/>
      <c r="J8" s="272"/>
      <c r="K8" s="6"/>
      <c r="L8" s="6"/>
    </row>
    <row r="9" spans="1:12" x14ac:dyDescent="0.35">
      <c r="A9" s="277" t="s">
        <v>6</v>
      </c>
      <c r="B9" s="277"/>
      <c r="C9" s="277"/>
      <c r="D9" s="277"/>
      <c r="E9" s="296" t="s">
        <v>175</v>
      </c>
      <c r="F9" s="297"/>
      <c r="G9" s="297"/>
      <c r="H9" s="298"/>
      <c r="I9" s="272"/>
      <c r="J9" s="272"/>
      <c r="K9" s="6"/>
      <c r="L9" s="6"/>
    </row>
    <row r="10" spans="1:12" x14ac:dyDescent="0.35">
      <c r="A10" s="2"/>
      <c r="B10" s="2"/>
      <c r="C10" s="2"/>
      <c r="D10" s="2"/>
      <c r="E10" s="2"/>
      <c r="F10" s="2"/>
      <c r="G10" s="2"/>
      <c r="H10" s="2"/>
      <c r="I10" s="272"/>
      <c r="J10" s="272"/>
      <c r="K10" s="2"/>
      <c r="L10" s="2"/>
    </row>
    <row r="11" spans="1:12" ht="24" customHeight="1" x14ac:dyDescent="0.35">
      <c r="A11" s="279" t="s">
        <v>181</v>
      </c>
      <c r="B11" s="280"/>
      <c r="C11" s="280"/>
      <c r="D11" s="280"/>
      <c r="E11" s="281"/>
      <c r="F11" s="289">
        <v>2283.36</v>
      </c>
      <c r="G11" s="299"/>
      <c r="H11" s="300"/>
      <c r="I11" s="272"/>
      <c r="J11" s="272"/>
      <c r="K11" s="8"/>
      <c r="L11" s="8"/>
    </row>
    <row r="12" spans="1:12" ht="24" customHeight="1" x14ac:dyDescent="0.35">
      <c r="A12" s="279" t="s">
        <v>195</v>
      </c>
      <c r="B12" s="280"/>
      <c r="C12" s="280"/>
      <c r="D12" s="280"/>
      <c r="E12" s="281"/>
      <c r="F12" s="289">
        <v>2283.36</v>
      </c>
      <c r="G12" s="290"/>
      <c r="H12" s="291"/>
      <c r="I12" s="272"/>
      <c r="J12" s="272"/>
      <c r="K12" s="8"/>
      <c r="L12" s="8"/>
    </row>
    <row r="13" spans="1:12" ht="24.5" customHeight="1" x14ac:dyDescent="0.35">
      <c r="A13" s="279" t="s">
        <v>194</v>
      </c>
      <c r="B13" s="280"/>
      <c r="C13" s="280"/>
      <c r="D13" s="280"/>
      <c r="E13" s="281"/>
      <c r="F13" s="292">
        <v>2283.36</v>
      </c>
      <c r="G13" s="292"/>
      <c r="H13" s="292"/>
      <c r="I13" s="272"/>
      <c r="J13" s="272"/>
      <c r="K13" s="8"/>
      <c r="L13" s="8"/>
    </row>
    <row r="14" spans="1:12" ht="24.5" customHeight="1" x14ac:dyDescent="0.35">
      <c r="A14" s="279" t="s">
        <v>180</v>
      </c>
      <c r="B14" s="280"/>
      <c r="C14" s="280"/>
      <c r="D14" s="280"/>
      <c r="E14" s="281"/>
      <c r="F14" s="292">
        <v>2283.36</v>
      </c>
      <c r="G14" s="292"/>
      <c r="H14" s="292"/>
      <c r="I14" s="272"/>
      <c r="J14" s="272"/>
      <c r="K14" s="8"/>
      <c r="L14" s="8"/>
    </row>
    <row r="15" spans="1:12" ht="24" customHeight="1" x14ac:dyDescent="0.35">
      <c r="A15" s="279" t="s">
        <v>7</v>
      </c>
      <c r="B15" s="280"/>
      <c r="C15" s="280"/>
      <c r="D15" s="280"/>
      <c r="E15" s="281"/>
      <c r="F15" s="306"/>
      <c r="G15" s="306"/>
      <c r="H15" s="306"/>
      <c r="I15" s="272"/>
      <c r="J15" s="272"/>
      <c r="K15" s="9"/>
      <c r="L15" s="9"/>
    </row>
    <row r="16" spans="1:12" x14ac:dyDescent="0.35">
      <c r="A16" s="279" t="s">
        <v>8</v>
      </c>
      <c r="B16" s="280"/>
      <c r="C16" s="280"/>
      <c r="D16" s="280"/>
      <c r="E16" s="281"/>
      <c r="F16" s="307">
        <v>44682</v>
      </c>
      <c r="G16" s="303"/>
      <c r="H16" s="304"/>
      <c r="I16" s="273"/>
      <c r="J16" s="273"/>
      <c r="K16" s="10"/>
      <c r="L16" s="10"/>
    </row>
    <row r="17" spans="1:12" x14ac:dyDescent="0.35">
      <c r="A17" s="279" t="s">
        <v>9</v>
      </c>
      <c r="B17" s="280"/>
      <c r="C17" s="280"/>
      <c r="D17" s="280"/>
      <c r="E17" s="281"/>
      <c r="F17" s="301">
        <v>1212</v>
      </c>
      <c r="G17" s="301"/>
      <c r="H17" s="301"/>
      <c r="I17" s="273"/>
      <c r="J17" s="273"/>
      <c r="K17" s="11"/>
      <c r="L17" s="11"/>
    </row>
    <row r="18" spans="1:12" ht="35.5" customHeight="1" x14ac:dyDescent="0.35">
      <c r="A18" s="279" t="s">
        <v>176</v>
      </c>
      <c r="B18" s="280"/>
      <c r="C18" s="280"/>
      <c r="D18" s="280"/>
      <c r="E18" s="281"/>
      <c r="F18" s="302" t="s">
        <v>202</v>
      </c>
      <c r="G18" s="303"/>
      <c r="H18" s="304"/>
      <c r="I18" s="273"/>
      <c r="J18" s="273"/>
      <c r="K18" s="12"/>
      <c r="L18" s="12"/>
    </row>
    <row r="19" spans="1:12" x14ac:dyDescent="0.35">
      <c r="A19" s="279" t="s">
        <v>177</v>
      </c>
      <c r="B19" s="280"/>
      <c r="C19" s="280"/>
      <c r="D19" s="280"/>
      <c r="E19" s="281"/>
      <c r="F19" s="305" t="s">
        <v>331</v>
      </c>
      <c r="G19" s="305"/>
      <c r="H19" s="305"/>
      <c r="I19" s="273"/>
      <c r="J19" s="273"/>
      <c r="K19" s="12"/>
      <c r="L19" s="12"/>
    </row>
    <row r="20" spans="1:12" x14ac:dyDescent="0.35">
      <c r="A20" s="279" t="s">
        <v>178</v>
      </c>
      <c r="B20" s="299"/>
      <c r="C20" s="299"/>
      <c r="D20" s="299"/>
      <c r="E20" s="300"/>
      <c r="F20" s="374" t="s">
        <v>332</v>
      </c>
      <c r="G20" s="299"/>
      <c r="H20" s="300"/>
      <c r="I20" s="273"/>
      <c r="J20" s="273"/>
      <c r="K20" s="12"/>
      <c r="L20" s="12"/>
    </row>
    <row r="21" spans="1:12" x14ac:dyDescent="0.35">
      <c r="A21" s="279" t="s">
        <v>179</v>
      </c>
      <c r="B21" s="280"/>
      <c r="C21" s="280"/>
      <c r="D21" s="280"/>
      <c r="E21" s="281"/>
      <c r="F21" s="305" t="s">
        <v>333</v>
      </c>
      <c r="G21" s="305"/>
      <c r="H21" s="305"/>
      <c r="I21" s="273"/>
      <c r="J21" s="273"/>
      <c r="K21" s="10"/>
      <c r="L21" s="10"/>
    </row>
    <row r="22" spans="1:12" x14ac:dyDescent="0.35">
      <c r="A22" s="308" t="s">
        <v>10</v>
      </c>
      <c r="B22" s="308"/>
      <c r="C22" s="308"/>
      <c r="D22" s="308"/>
      <c r="E22" s="14">
        <v>0.03</v>
      </c>
      <c r="F22" s="13" t="s">
        <v>11</v>
      </c>
      <c r="G22" s="152">
        <v>1</v>
      </c>
      <c r="H22" s="153"/>
      <c r="I22" s="273"/>
      <c r="J22" s="273"/>
      <c r="K22" s="4"/>
      <c r="L22" s="4"/>
    </row>
    <row r="23" spans="1:12" x14ac:dyDescent="0.35">
      <c r="A23" s="308" t="s">
        <v>12</v>
      </c>
      <c r="B23" s="308"/>
      <c r="C23" s="308"/>
      <c r="D23" s="308"/>
      <c r="E23" s="308"/>
      <c r="F23" s="150">
        <v>0.11749999999999999</v>
      </c>
      <c r="G23" s="151"/>
      <c r="H23" s="151"/>
      <c r="I23" s="273"/>
      <c r="J23" s="273"/>
      <c r="K23" s="4"/>
      <c r="L23" s="4"/>
    </row>
    <row r="24" spans="1:12" x14ac:dyDescent="0.35">
      <c r="A24" s="308" t="s">
        <v>13</v>
      </c>
      <c r="B24" s="308"/>
      <c r="C24" s="308"/>
      <c r="D24" s="308"/>
      <c r="E24" s="308"/>
      <c r="F24" s="150">
        <v>0.10979999999999999</v>
      </c>
      <c r="G24" s="151"/>
      <c r="H24" s="151"/>
      <c r="I24" s="273"/>
      <c r="J24" s="273"/>
      <c r="K24" s="4"/>
      <c r="L24" s="4"/>
    </row>
    <row r="25" spans="1:12" ht="48" customHeight="1" x14ac:dyDescent="0.35">
      <c r="A25" s="309" t="s">
        <v>14</v>
      </c>
      <c r="B25" s="309"/>
      <c r="C25" s="310" t="s">
        <v>183</v>
      </c>
      <c r="D25" s="310"/>
      <c r="E25" s="310"/>
      <c r="F25" s="310"/>
      <c r="G25" s="310"/>
      <c r="H25" s="310"/>
      <c r="I25" s="4"/>
      <c r="J25" s="2"/>
      <c r="K25" s="4"/>
      <c r="L25" s="4"/>
    </row>
    <row r="26" spans="1:12" ht="15" thickBot="1" x14ac:dyDescent="0.4">
      <c r="A26" s="311" t="s">
        <v>15</v>
      </c>
      <c r="B26" s="311"/>
      <c r="C26" s="312" t="s">
        <v>182</v>
      </c>
      <c r="D26" s="313"/>
      <c r="E26" s="313"/>
      <c r="F26" s="313"/>
      <c r="G26" s="313"/>
      <c r="H26" s="314"/>
      <c r="I26" s="4"/>
      <c r="J26" s="2"/>
      <c r="K26" s="4"/>
      <c r="L26" s="4"/>
    </row>
    <row r="27" spans="1:12" ht="26" x14ac:dyDescent="0.35">
      <c r="A27" s="330" t="s">
        <v>16</v>
      </c>
      <c r="B27" s="330"/>
      <c r="C27" s="330"/>
      <c r="D27" s="330"/>
      <c r="E27" s="330"/>
      <c r="F27" s="330"/>
      <c r="G27" s="15" t="s">
        <v>17</v>
      </c>
      <c r="H27" s="263" t="s">
        <v>18</v>
      </c>
      <c r="I27" s="334" t="s">
        <v>340</v>
      </c>
      <c r="J27" s="2"/>
      <c r="K27" s="4"/>
      <c r="L27" s="4"/>
    </row>
    <row r="28" spans="1:12" x14ac:dyDescent="0.35">
      <c r="A28" s="277" t="s">
        <v>18</v>
      </c>
      <c r="B28" s="277"/>
      <c r="C28" s="277"/>
      <c r="D28" s="277" t="s">
        <v>19</v>
      </c>
      <c r="E28" s="277"/>
      <c r="F28" s="277"/>
      <c r="G28" s="154">
        <f>IF(A26="Lucro Real",0.0165,IF(A26="Lucro Presumido",0.0065,'[1]Simples Nac. - Anexo IV, LC 123'!B35))</f>
        <v>6.4999999999999997E-3</v>
      </c>
      <c r="H28" s="331">
        <f>G29+G28</f>
        <v>3.6499999999999998E-2</v>
      </c>
      <c r="I28" s="335"/>
      <c r="J28" s="2"/>
      <c r="K28" s="4"/>
      <c r="L28" s="4"/>
    </row>
    <row r="29" spans="1:12" x14ac:dyDescent="0.35">
      <c r="A29" s="277"/>
      <c r="B29" s="277"/>
      <c r="C29" s="277"/>
      <c r="D29" s="277" t="s">
        <v>20</v>
      </c>
      <c r="E29" s="277"/>
      <c r="F29" s="277"/>
      <c r="G29" s="154">
        <f>IF(A26="Lucro Real",0.076,IF(A26="Lucro Presumido",0.03,'[1]Simples Nac. - Anexo IV, LC 123'!C35))</f>
        <v>0.03</v>
      </c>
      <c r="H29" s="332"/>
      <c r="I29" s="335"/>
      <c r="J29" s="2"/>
      <c r="K29" s="4"/>
      <c r="L29" s="4"/>
    </row>
    <row r="30" spans="1:12" ht="26" x14ac:dyDescent="0.35">
      <c r="A30" s="277" t="s">
        <v>21</v>
      </c>
      <c r="B30" s="277"/>
      <c r="C30" s="277"/>
      <c r="D30" s="16"/>
      <c r="E30" s="17"/>
      <c r="F30" s="17"/>
      <c r="G30" s="155"/>
      <c r="H30" s="264" t="s">
        <v>22</v>
      </c>
      <c r="I30" s="335"/>
      <c r="J30" s="2"/>
      <c r="K30" s="4"/>
      <c r="L30" s="4"/>
    </row>
    <row r="31" spans="1:12" ht="15" thickBot="1" x14ac:dyDescent="0.4">
      <c r="A31" s="277"/>
      <c r="B31" s="277"/>
      <c r="C31" s="277"/>
      <c r="D31" s="333" t="str">
        <f>A6</f>
        <v>ALFSPO - SÃO PAULO</v>
      </c>
      <c r="E31" s="333"/>
      <c r="F31" s="333"/>
      <c r="G31" s="156">
        <f>F6</f>
        <v>0.05</v>
      </c>
      <c r="H31" s="265">
        <f t="shared" ref="H31" si="0">IF(OR(D31=0,G31=0),"",$H$28+G31)</f>
        <v>8.6499999999999994E-2</v>
      </c>
      <c r="I31" s="336"/>
      <c r="J31" s="2"/>
      <c r="K31" s="4"/>
      <c r="L31" s="4"/>
    </row>
    <row r="32" spans="1:12" x14ac:dyDescent="0.35">
      <c r="A32" s="18"/>
      <c r="B32" s="18"/>
      <c r="C32" s="18"/>
      <c r="D32" s="18"/>
      <c r="E32" s="4"/>
      <c r="F32" s="4"/>
      <c r="G32" s="4"/>
      <c r="H32" s="4"/>
      <c r="I32" s="4"/>
      <c r="J32" s="4"/>
      <c r="K32" s="4"/>
      <c r="L32" s="4"/>
    </row>
    <row r="33" spans="1:12" x14ac:dyDescent="0.35">
      <c r="A33" s="322" t="s">
        <v>23</v>
      </c>
      <c r="B33" s="323"/>
      <c r="C33" s="323"/>
      <c r="D33" s="19"/>
      <c r="E33" s="19"/>
      <c r="F33" s="19"/>
      <c r="G33" s="19"/>
      <c r="H33" s="19"/>
      <c r="I33" s="19"/>
      <c r="J33" s="19"/>
      <c r="K33" s="19"/>
      <c r="L33" s="20"/>
    </row>
    <row r="34" spans="1:12" x14ac:dyDescent="0.35">
      <c r="A34" s="324" t="s">
        <v>24</v>
      </c>
      <c r="B34" s="325"/>
      <c r="C34" s="325"/>
      <c r="D34" s="325"/>
      <c r="E34" s="325"/>
      <c r="F34" s="325"/>
      <c r="G34" s="325"/>
      <c r="H34" s="325"/>
      <c r="I34" s="325"/>
      <c r="J34" s="325"/>
      <c r="K34" s="325"/>
      <c r="L34" s="326"/>
    </row>
    <row r="35" spans="1:12" ht="39" x14ac:dyDescent="0.35">
      <c r="A35" s="279" t="s">
        <v>25</v>
      </c>
      <c r="B35" s="280"/>
      <c r="C35" s="280"/>
      <c r="D35" s="281"/>
      <c r="E35" s="1" t="s">
        <v>26</v>
      </c>
      <c r="F35" s="1" t="s">
        <v>27</v>
      </c>
      <c r="G35" s="1" t="s">
        <v>28</v>
      </c>
      <c r="H35" s="1" t="s">
        <v>29</v>
      </c>
      <c r="I35" s="1" t="s">
        <v>185</v>
      </c>
      <c r="J35" s="1" t="s">
        <v>186</v>
      </c>
      <c r="K35" s="1" t="s">
        <v>187</v>
      </c>
      <c r="L35" s="1" t="s">
        <v>188</v>
      </c>
    </row>
    <row r="36" spans="1:12" x14ac:dyDescent="0.35">
      <c r="A36" s="327" t="str">
        <f>A6</f>
        <v>ALFSPO - SÃO PAULO</v>
      </c>
      <c r="B36" s="328"/>
      <c r="C36" s="328"/>
      <c r="D36" s="329"/>
      <c r="E36" s="21">
        <v>7.48</v>
      </c>
      <c r="F36" s="22">
        <v>2</v>
      </c>
      <c r="G36" s="89">
        <v>21.725999999999999</v>
      </c>
      <c r="H36" s="23">
        <f t="shared" ref="H36" si="1">$G$36*E36*F36</f>
        <v>325.02096</v>
      </c>
      <c r="I36" s="24">
        <f>MAX(IF(AND(A36&lt;&gt;0,E36&gt;0),H36-$E$39,0),0)</f>
        <v>188.02096</v>
      </c>
      <c r="J36" s="24">
        <f>MAX(IF(AND(E36&lt;&gt;0,F36&gt;0),H36-$E$39,0),0)</f>
        <v>188.02096</v>
      </c>
      <c r="K36" s="24">
        <f>MAX(IF(AND(E36&lt;&gt;0,F36&gt;0),H36-$E$41,0),0)</f>
        <v>188.02096</v>
      </c>
      <c r="L36" s="24">
        <f>MAX(IF(AND(E36&lt;&gt;0,F36&gt;0),H36-$E$42,0),0)</f>
        <v>188.02096</v>
      </c>
    </row>
    <row r="37" spans="1:12" x14ac:dyDescent="0.35">
      <c r="A37" s="315" t="s">
        <v>30</v>
      </c>
      <c r="B37" s="316"/>
      <c r="C37" s="316"/>
      <c r="D37" s="316"/>
      <c r="E37" s="316"/>
      <c r="F37" s="316"/>
      <c r="G37" s="316"/>
      <c r="H37" s="317"/>
      <c r="I37" s="2"/>
      <c r="J37" s="2"/>
      <c r="K37" s="25"/>
      <c r="L37" s="25"/>
    </row>
    <row r="38" spans="1:12" x14ac:dyDescent="0.35">
      <c r="A38" s="318" t="s">
        <v>31</v>
      </c>
      <c r="B38" s="318"/>
      <c r="C38" s="318"/>
      <c r="D38" s="318"/>
      <c r="E38" s="319" t="s">
        <v>32</v>
      </c>
      <c r="F38" s="320"/>
      <c r="G38" s="320"/>
      <c r="H38" s="321"/>
      <c r="I38" s="26"/>
      <c r="J38" s="25"/>
      <c r="K38" s="25"/>
      <c r="L38" s="25"/>
    </row>
    <row r="39" spans="1:12" x14ac:dyDescent="0.35">
      <c r="A39" s="288" t="s">
        <v>189</v>
      </c>
      <c r="B39" s="288"/>
      <c r="C39" s="288"/>
      <c r="D39" s="288"/>
      <c r="E39" s="337">
        <f>ROUND(0.06*F11,2)</f>
        <v>137</v>
      </c>
      <c r="F39" s="338"/>
      <c r="G39" s="338"/>
      <c r="H39" s="339"/>
      <c r="I39" s="26"/>
      <c r="J39" s="25"/>
      <c r="K39" s="25"/>
      <c r="L39" s="25"/>
    </row>
    <row r="40" spans="1:12" x14ac:dyDescent="0.35">
      <c r="A40" s="318" t="s">
        <v>190</v>
      </c>
      <c r="B40" s="318"/>
      <c r="C40" s="318"/>
      <c r="D40" s="318"/>
      <c r="E40" s="337">
        <f t="shared" ref="E40:E42" si="2">ROUND(0.06*F12,2)</f>
        <v>137</v>
      </c>
      <c r="F40" s="338"/>
      <c r="G40" s="338"/>
      <c r="H40" s="339"/>
      <c r="I40" s="26"/>
      <c r="J40" s="25"/>
      <c r="K40" s="25"/>
      <c r="L40" s="25"/>
    </row>
    <row r="41" spans="1:12" x14ac:dyDescent="0.35">
      <c r="A41" s="318" t="s">
        <v>191</v>
      </c>
      <c r="B41" s="318"/>
      <c r="C41" s="318"/>
      <c r="D41" s="318"/>
      <c r="E41" s="337">
        <f t="shared" si="2"/>
        <v>137</v>
      </c>
      <c r="F41" s="338"/>
      <c r="G41" s="338"/>
      <c r="H41" s="339"/>
      <c r="I41" s="26"/>
      <c r="J41" s="25"/>
      <c r="K41" s="25"/>
      <c r="L41" s="25"/>
    </row>
    <row r="42" spans="1:12" x14ac:dyDescent="0.35">
      <c r="A42" s="318" t="s">
        <v>188</v>
      </c>
      <c r="B42" s="318"/>
      <c r="C42" s="318"/>
      <c r="D42" s="318"/>
      <c r="E42" s="337">
        <f t="shared" si="2"/>
        <v>137</v>
      </c>
      <c r="F42" s="338"/>
      <c r="G42" s="338"/>
      <c r="H42" s="339"/>
      <c r="I42" s="26"/>
      <c r="J42" s="25"/>
      <c r="K42" s="25"/>
      <c r="L42" s="25"/>
    </row>
    <row r="43" spans="1:12" x14ac:dyDescent="0.35">
      <c r="A43" s="2"/>
      <c r="B43" s="2"/>
      <c r="C43" s="2"/>
      <c r="D43" s="2"/>
      <c r="E43" s="2"/>
      <c r="F43" s="2"/>
      <c r="G43" s="2"/>
      <c r="H43" s="2"/>
      <c r="I43" s="2"/>
      <c r="J43" s="25"/>
      <c r="K43" s="25"/>
      <c r="L43" s="25"/>
    </row>
    <row r="44" spans="1:12" x14ac:dyDescent="0.35">
      <c r="A44" s="340" t="s">
        <v>33</v>
      </c>
      <c r="B44" s="340"/>
      <c r="C44" s="340"/>
      <c r="D44" s="340"/>
      <c r="E44" s="340"/>
      <c r="F44" s="340"/>
      <c r="G44" s="340"/>
      <c r="H44" s="340"/>
      <c r="I44" s="4"/>
      <c r="J44" s="4"/>
      <c r="K44" s="4"/>
      <c r="L44" s="4"/>
    </row>
    <row r="45" spans="1:12" ht="35.5" customHeight="1" x14ac:dyDescent="0.35">
      <c r="A45" s="341" t="s">
        <v>34</v>
      </c>
      <c r="B45" s="341"/>
      <c r="C45" s="341" t="s">
        <v>35</v>
      </c>
      <c r="D45" s="341"/>
      <c r="E45" s="277" t="s">
        <v>36</v>
      </c>
      <c r="F45" s="277"/>
      <c r="G45" s="342" t="s">
        <v>37</v>
      </c>
      <c r="H45" s="342"/>
      <c r="I45" s="27"/>
      <c r="J45" s="27"/>
      <c r="K45" s="27"/>
      <c r="L45" s="27"/>
    </row>
    <row r="46" spans="1:12" x14ac:dyDescent="0.35">
      <c r="A46" s="346">
        <v>27.56</v>
      </c>
      <c r="B46" s="346"/>
      <c r="C46" s="346">
        <f>A46*0.05</f>
        <v>1.3780000000000001</v>
      </c>
      <c r="D46" s="346"/>
      <c r="E46" s="347">
        <v>21.725999999999999</v>
      </c>
      <c r="F46" s="347"/>
      <c r="G46" s="140">
        <f>(A46-C46)*E46</f>
        <v>568.83013199999994</v>
      </c>
      <c r="H46" s="132"/>
      <c r="I46" s="28"/>
      <c r="J46" s="28"/>
      <c r="K46" s="28"/>
      <c r="L46" s="28"/>
    </row>
    <row r="47" spans="1:12" x14ac:dyDescent="0.35">
      <c r="A47" s="2"/>
      <c r="B47" s="2"/>
      <c r="C47" s="2"/>
      <c r="D47" s="2"/>
      <c r="E47" s="2"/>
      <c r="F47" s="2"/>
      <c r="G47" s="2"/>
      <c r="H47" s="2"/>
      <c r="I47" s="28"/>
      <c r="J47" s="28"/>
      <c r="K47" s="28"/>
      <c r="L47" s="28"/>
    </row>
    <row r="48" spans="1:12" x14ac:dyDescent="0.35">
      <c r="A48" s="340" t="s">
        <v>38</v>
      </c>
      <c r="B48" s="340"/>
      <c r="C48" s="340"/>
      <c r="D48" s="340"/>
      <c r="E48" s="340"/>
      <c r="F48" s="340"/>
      <c r="G48" s="340"/>
      <c r="H48" s="340"/>
      <c r="I48" s="28"/>
      <c r="J48" s="28"/>
      <c r="K48" s="28"/>
      <c r="L48" s="28"/>
    </row>
    <row r="49" spans="1:12" ht="32" customHeight="1" x14ac:dyDescent="0.35">
      <c r="A49" s="277" t="s">
        <v>39</v>
      </c>
      <c r="B49" s="277"/>
      <c r="C49" s="277"/>
      <c r="D49" s="277" t="s">
        <v>35</v>
      </c>
      <c r="E49" s="277"/>
      <c r="F49" s="277"/>
      <c r="G49" s="277" t="s">
        <v>40</v>
      </c>
      <c r="H49" s="277"/>
      <c r="I49" s="28"/>
      <c r="J49" s="28"/>
      <c r="K49" s="28"/>
      <c r="L49" s="28"/>
    </row>
    <row r="50" spans="1:12" x14ac:dyDescent="0.35">
      <c r="A50" s="343">
        <f>1%*F11</f>
        <v>22.833600000000001</v>
      </c>
      <c r="B50" s="344"/>
      <c r="C50" s="345"/>
      <c r="D50" s="343">
        <v>0</v>
      </c>
      <c r="E50" s="344"/>
      <c r="F50" s="345"/>
      <c r="G50" s="90">
        <f>A50-D50</f>
        <v>22.833600000000001</v>
      </c>
      <c r="H50" s="133"/>
      <c r="I50" s="28"/>
      <c r="J50" s="28"/>
      <c r="K50" s="28"/>
      <c r="L50" s="28"/>
    </row>
    <row r="51" spans="1:12" x14ac:dyDescent="0.35">
      <c r="A51" s="2"/>
      <c r="B51" s="2"/>
      <c r="C51" s="2"/>
      <c r="D51" s="2"/>
      <c r="E51" s="2"/>
      <c r="F51" s="2"/>
      <c r="G51" s="2"/>
      <c r="H51" s="2"/>
      <c r="I51" s="28"/>
      <c r="J51" s="28"/>
      <c r="K51" s="28"/>
      <c r="L51" s="28"/>
    </row>
    <row r="52" spans="1:12" x14ac:dyDescent="0.35">
      <c r="A52" s="340" t="s">
        <v>41</v>
      </c>
      <c r="B52" s="340"/>
      <c r="C52" s="340"/>
      <c r="D52" s="324"/>
      <c r="E52" s="134"/>
      <c r="F52" s="100"/>
      <c r="G52" s="100"/>
      <c r="H52" s="100"/>
      <c r="I52" s="4"/>
      <c r="J52" s="4"/>
      <c r="K52" s="4"/>
      <c r="L52" s="4"/>
    </row>
    <row r="53" spans="1:12" x14ac:dyDescent="0.35">
      <c r="A53" s="2"/>
      <c r="B53" s="2"/>
      <c r="C53" s="2"/>
      <c r="D53" s="2"/>
      <c r="E53" s="2"/>
      <c r="F53" s="2"/>
      <c r="G53" s="2"/>
      <c r="H53" s="2"/>
      <c r="I53" s="28"/>
      <c r="J53" s="28"/>
      <c r="K53" s="28"/>
      <c r="L53" s="28"/>
    </row>
    <row r="54" spans="1:12" x14ac:dyDescent="0.35">
      <c r="A54" s="340" t="s">
        <v>42</v>
      </c>
      <c r="B54" s="340"/>
      <c r="C54" s="340"/>
      <c r="D54" s="340"/>
      <c r="E54" s="340"/>
      <c r="F54" s="340"/>
      <c r="G54" s="340"/>
      <c r="H54" s="340"/>
      <c r="I54" s="28"/>
      <c r="J54" s="28"/>
      <c r="K54" s="28"/>
      <c r="L54" s="28"/>
    </row>
    <row r="55" spans="1:12" ht="28.5" customHeight="1" x14ac:dyDescent="0.35">
      <c r="A55" s="352" t="s">
        <v>43</v>
      </c>
      <c r="B55" s="353"/>
      <c r="C55" s="353"/>
      <c r="D55" s="354" t="s">
        <v>44</v>
      </c>
      <c r="E55" s="354"/>
      <c r="F55" s="277" t="s">
        <v>45</v>
      </c>
      <c r="G55" s="277"/>
      <c r="H55" s="277"/>
      <c r="I55" s="4"/>
      <c r="J55" s="4"/>
      <c r="K55" s="4"/>
      <c r="L55" s="4"/>
    </row>
    <row r="56" spans="1:12" x14ac:dyDescent="0.35">
      <c r="A56" s="350"/>
      <c r="B56" s="350"/>
      <c r="C56" s="350"/>
      <c r="D56" s="355">
        <v>5.9499999999999997E-2</v>
      </c>
      <c r="E56" s="355"/>
      <c r="F56" s="131">
        <f>ROUND(A56*D56,2)</f>
        <v>0</v>
      </c>
      <c r="G56" s="135"/>
      <c r="H56" s="135"/>
      <c r="I56" s="4"/>
      <c r="J56" s="4"/>
      <c r="K56" s="4"/>
      <c r="L56" s="4"/>
    </row>
    <row r="57" spans="1:12" x14ac:dyDescent="0.35">
      <c r="A57" s="2"/>
      <c r="B57" s="2"/>
      <c r="C57" s="2"/>
      <c r="D57" s="2"/>
      <c r="E57" s="2"/>
      <c r="F57" s="2"/>
      <c r="G57" s="2"/>
      <c r="H57" s="2"/>
      <c r="I57" s="28"/>
      <c r="J57" s="28"/>
      <c r="K57" s="28"/>
      <c r="L57" s="28"/>
    </row>
    <row r="58" spans="1:12" x14ac:dyDescent="0.35">
      <c r="A58" s="340" t="s">
        <v>46</v>
      </c>
      <c r="B58" s="340"/>
      <c r="C58" s="340"/>
      <c r="D58" s="340"/>
      <c r="E58" s="340"/>
      <c r="F58" s="340"/>
      <c r="G58" s="340"/>
      <c r="H58" s="340"/>
      <c r="I58" s="28"/>
      <c r="J58" s="28"/>
      <c r="K58" s="28"/>
      <c r="L58" s="28"/>
    </row>
    <row r="59" spans="1:12" ht="26.5" customHeight="1" x14ac:dyDescent="0.35">
      <c r="A59" s="403" t="s">
        <v>47</v>
      </c>
      <c r="B59" s="403"/>
      <c r="C59" s="277" t="s">
        <v>48</v>
      </c>
      <c r="D59" s="277"/>
      <c r="E59" s="348" t="s">
        <v>49</v>
      </c>
      <c r="F59" s="348"/>
      <c r="G59" s="277" t="s">
        <v>50</v>
      </c>
      <c r="H59" s="277"/>
      <c r="I59" s="4"/>
      <c r="J59" s="4"/>
      <c r="K59" s="4"/>
      <c r="L59" s="4"/>
    </row>
    <row r="60" spans="1:12" x14ac:dyDescent="0.35">
      <c r="A60" s="346">
        <f>10.33*12</f>
        <v>123.96000000000001</v>
      </c>
      <c r="B60" s="346"/>
      <c r="C60" s="349">
        <f>ROUND(A60/12,2)</f>
        <v>10.33</v>
      </c>
      <c r="D60" s="349"/>
      <c r="E60" s="350">
        <v>0</v>
      </c>
      <c r="F60" s="350"/>
      <c r="G60" s="136">
        <f>C60-E60</f>
        <v>10.33</v>
      </c>
      <c r="H60" s="137"/>
      <c r="I60" s="4"/>
      <c r="J60" s="4"/>
      <c r="K60" s="4"/>
      <c r="L60" s="4"/>
    </row>
    <row r="61" spans="1:12" x14ac:dyDescent="0.35">
      <c r="A61" s="29"/>
      <c r="B61" s="29"/>
      <c r="C61" s="29"/>
      <c r="D61" s="29"/>
      <c r="E61" s="29"/>
      <c r="F61" s="29"/>
      <c r="G61" s="29"/>
      <c r="H61" s="29"/>
      <c r="I61" s="4"/>
      <c r="J61" s="4"/>
      <c r="K61" s="4"/>
      <c r="L61" s="4"/>
    </row>
    <row r="62" spans="1:12" x14ac:dyDescent="0.35">
      <c r="A62" s="340" t="s">
        <v>51</v>
      </c>
      <c r="B62" s="340"/>
      <c r="C62" s="340"/>
      <c r="D62" s="340"/>
      <c r="E62" s="138">
        <v>0</v>
      </c>
      <c r="F62" s="139"/>
      <c r="G62" s="139"/>
      <c r="H62" s="139"/>
      <c r="I62" s="4"/>
      <c r="J62" s="4"/>
      <c r="K62" s="4"/>
      <c r="L62" s="4"/>
    </row>
    <row r="63" spans="1:12" x14ac:dyDescent="0.35">
      <c r="A63" s="29"/>
      <c r="B63" s="29"/>
      <c r="C63" s="29"/>
      <c r="D63" s="29"/>
      <c r="E63" s="29"/>
      <c r="F63" s="29"/>
      <c r="G63" s="29"/>
      <c r="H63" s="29"/>
      <c r="I63" s="4"/>
      <c r="J63" s="4"/>
      <c r="K63" s="4"/>
      <c r="L63" s="4"/>
    </row>
    <row r="64" spans="1:12" x14ac:dyDescent="0.35">
      <c r="A64" s="340" t="s">
        <v>52</v>
      </c>
      <c r="B64" s="340"/>
      <c r="C64" s="340"/>
      <c r="D64" s="340"/>
      <c r="E64" s="140">
        <v>0</v>
      </c>
      <c r="F64" s="141"/>
      <c r="G64" s="141"/>
      <c r="H64" s="142"/>
      <c r="I64" s="28"/>
      <c r="J64" s="28"/>
      <c r="K64" s="28"/>
      <c r="L64" s="28"/>
    </row>
    <row r="65" spans="1:12" ht="15" thickBot="1" x14ac:dyDescent="0.4">
      <c r="A65" s="2"/>
      <c r="B65" s="2"/>
      <c r="C65" s="2"/>
      <c r="D65" s="2"/>
      <c r="E65" s="383"/>
      <c r="F65" s="383"/>
      <c r="G65" s="383"/>
      <c r="H65" s="383"/>
      <c r="I65" s="28"/>
      <c r="J65" s="28"/>
      <c r="K65" s="28"/>
      <c r="L65" s="28"/>
    </row>
    <row r="66" spans="1:12" x14ac:dyDescent="0.35">
      <c r="A66" s="340" t="s">
        <v>200</v>
      </c>
      <c r="B66" s="340"/>
      <c r="C66" s="340"/>
      <c r="D66" s="340"/>
      <c r="E66" s="143">
        <v>0</v>
      </c>
      <c r="F66" s="141"/>
      <c r="G66" s="141"/>
      <c r="H66" s="141"/>
      <c r="I66" s="377"/>
      <c r="J66" s="378"/>
      <c r="K66" s="378"/>
      <c r="L66" s="379"/>
    </row>
    <row r="67" spans="1:12" ht="15" thickBot="1" x14ac:dyDescent="0.4">
      <c r="A67" s="4"/>
      <c r="B67" s="4"/>
      <c r="C67" s="4"/>
      <c r="D67" s="4"/>
      <c r="E67" s="4"/>
      <c r="F67" s="4"/>
      <c r="G67" s="4"/>
      <c r="H67" s="4"/>
      <c r="I67" s="380"/>
      <c r="J67" s="381"/>
      <c r="K67" s="381"/>
      <c r="L67" s="382"/>
    </row>
    <row r="68" spans="1:12" x14ac:dyDescent="0.35">
      <c r="A68" s="322" t="s">
        <v>54</v>
      </c>
      <c r="B68" s="323"/>
      <c r="C68" s="323"/>
      <c r="D68" s="323"/>
      <c r="E68" s="323"/>
      <c r="F68" s="323"/>
      <c r="G68" s="323"/>
      <c r="H68" s="351"/>
      <c r="I68" s="4"/>
      <c r="J68" s="30"/>
      <c r="K68" s="30"/>
      <c r="L68" s="30"/>
    </row>
    <row r="69" spans="1:12" ht="22.5" customHeight="1" x14ac:dyDescent="0.35">
      <c r="A69" s="400" t="s">
        <v>55</v>
      </c>
      <c r="B69" s="401"/>
      <c r="C69" s="401"/>
      <c r="D69" s="401"/>
      <c r="E69" s="401"/>
      <c r="F69" s="402"/>
      <c r="G69" s="144">
        <v>5.5500000000000001E-2</v>
      </c>
      <c r="H69" s="145"/>
      <c r="I69" s="4"/>
      <c r="J69" s="4"/>
      <c r="K69" s="4"/>
      <c r="L69" s="4"/>
    </row>
    <row r="70" spans="1:12" ht="37.5" customHeight="1" x14ac:dyDescent="0.35">
      <c r="A70" s="341" t="s">
        <v>205</v>
      </c>
      <c r="B70" s="341"/>
      <c r="C70" s="341"/>
      <c r="D70" s="341"/>
      <c r="E70" s="341"/>
      <c r="F70" s="341"/>
      <c r="G70" s="146">
        <f>100%-G69</f>
        <v>0.94450000000000001</v>
      </c>
      <c r="H70" s="147"/>
      <c r="I70" s="4"/>
      <c r="J70" s="4"/>
      <c r="K70" s="4"/>
      <c r="L70" s="4"/>
    </row>
    <row r="71" spans="1:12" x14ac:dyDescent="0.35">
      <c r="A71" s="4"/>
      <c r="B71" s="4"/>
      <c r="C71" s="4"/>
      <c r="D71" s="4"/>
      <c r="E71" s="4"/>
      <c r="F71" s="4"/>
      <c r="G71" s="4"/>
      <c r="H71" s="4"/>
      <c r="I71" s="2"/>
      <c r="J71" s="4"/>
      <c r="K71" s="4"/>
      <c r="L71" s="4"/>
    </row>
    <row r="72" spans="1:12" ht="15" thickBot="1" x14ac:dyDescent="0.4">
      <c r="A72" s="322" t="s">
        <v>56</v>
      </c>
      <c r="B72" s="323"/>
      <c r="C72" s="323"/>
      <c r="D72" s="323"/>
      <c r="E72" s="323"/>
      <c r="F72" s="323"/>
      <c r="G72" s="323"/>
      <c r="H72" s="351"/>
      <c r="I72" s="2"/>
      <c r="J72" s="4"/>
      <c r="K72" s="30"/>
      <c r="L72" s="30"/>
    </row>
    <row r="73" spans="1:12" ht="15" thickBot="1" x14ac:dyDescent="0.4">
      <c r="A73" s="1" t="s">
        <v>57</v>
      </c>
      <c r="B73" s="368" t="s">
        <v>58</v>
      </c>
      <c r="C73" s="369"/>
      <c r="D73" s="369"/>
      <c r="E73" s="369"/>
      <c r="F73" s="370"/>
      <c r="G73" s="165">
        <v>9.0899999999999995E-2</v>
      </c>
      <c r="H73" s="166" t="s">
        <v>59</v>
      </c>
      <c r="I73" s="167" t="s">
        <v>225</v>
      </c>
      <c r="J73" s="164"/>
      <c r="K73" s="31"/>
      <c r="L73" s="31"/>
    </row>
    <row r="74" spans="1:12" x14ac:dyDescent="0.35">
      <c r="A74" s="1" t="s">
        <v>60</v>
      </c>
      <c r="B74" s="282" t="s">
        <v>61</v>
      </c>
      <c r="C74" s="284"/>
      <c r="D74" s="371" t="s">
        <v>62</v>
      </c>
      <c r="E74" s="22">
        <v>3</v>
      </c>
      <c r="F74" s="371" t="s">
        <v>63</v>
      </c>
      <c r="G74" s="32">
        <v>1</v>
      </c>
      <c r="H74" s="33">
        <f t="shared" ref="H74:H79" si="3">E74/365*G74</f>
        <v>8.21917808219178E-3</v>
      </c>
      <c r="I74" s="2"/>
      <c r="J74" s="34"/>
      <c r="K74" s="34"/>
      <c r="L74" s="34"/>
    </row>
    <row r="75" spans="1:12" x14ac:dyDescent="0.35">
      <c r="A75" s="1" t="s">
        <v>64</v>
      </c>
      <c r="B75" s="282" t="s">
        <v>65</v>
      </c>
      <c r="C75" s="284"/>
      <c r="D75" s="372"/>
      <c r="E75" s="22">
        <v>3</v>
      </c>
      <c r="F75" s="372"/>
      <c r="G75" s="32">
        <v>1</v>
      </c>
      <c r="H75" s="33">
        <f t="shared" si="3"/>
        <v>8.21917808219178E-3</v>
      </c>
      <c r="I75" s="2"/>
      <c r="J75" s="34"/>
      <c r="K75" s="34"/>
      <c r="L75" s="34"/>
    </row>
    <row r="76" spans="1:12" x14ac:dyDescent="0.35">
      <c r="A76" s="1" t="s">
        <v>66</v>
      </c>
      <c r="B76" s="282" t="s">
        <v>67</v>
      </c>
      <c r="C76" s="284"/>
      <c r="D76" s="372"/>
      <c r="E76" s="22">
        <v>5</v>
      </c>
      <c r="F76" s="372"/>
      <c r="G76" s="35">
        <f>0.95*6.24%</f>
        <v>5.9279999999999999E-2</v>
      </c>
      <c r="H76" s="33">
        <f t="shared" si="3"/>
        <v>8.1205479452054787E-4</v>
      </c>
      <c r="I76" s="274"/>
      <c r="J76" s="275"/>
      <c r="K76" s="275"/>
      <c r="L76" s="275"/>
    </row>
    <row r="77" spans="1:12" ht="30.5" customHeight="1" x14ac:dyDescent="0.35">
      <c r="A77" s="1" t="s">
        <v>68</v>
      </c>
      <c r="B77" s="282" t="s">
        <v>69</v>
      </c>
      <c r="C77" s="284"/>
      <c r="D77" s="372"/>
      <c r="E77" s="22">
        <v>1</v>
      </c>
      <c r="F77" s="372"/>
      <c r="G77" s="32">
        <v>1</v>
      </c>
      <c r="H77" s="33">
        <f t="shared" si="3"/>
        <v>2.7397260273972603E-3</v>
      </c>
      <c r="I77" s="276"/>
      <c r="J77" s="275"/>
      <c r="K77" s="275"/>
      <c r="L77" s="275"/>
    </row>
    <row r="78" spans="1:12" ht="31" customHeight="1" x14ac:dyDescent="0.35">
      <c r="A78" s="1" t="s">
        <v>70</v>
      </c>
      <c r="B78" s="282" t="s">
        <v>71</v>
      </c>
      <c r="C78" s="284"/>
      <c r="D78" s="372"/>
      <c r="E78" s="22">
        <v>120</v>
      </c>
      <c r="F78" s="372"/>
      <c r="G78" s="32">
        <f>0.05*6.24%</f>
        <v>3.1200000000000004E-3</v>
      </c>
      <c r="H78" s="33">
        <f>E78/365*G78*56.4%*36.8%</f>
        <v>2.1289717479452052E-4</v>
      </c>
      <c r="I78" s="276"/>
      <c r="J78" s="275"/>
      <c r="K78" s="275"/>
      <c r="L78" s="275"/>
    </row>
    <row r="79" spans="1:12" x14ac:dyDescent="0.35">
      <c r="A79" s="1" t="s">
        <v>72</v>
      </c>
      <c r="B79" s="282" t="s">
        <v>53</v>
      </c>
      <c r="C79" s="284"/>
      <c r="D79" s="373"/>
      <c r="E79" s="22"/>
      <c r="F79" s="373"/>
      <c r="G79" s="32"/>
      <c r="H79" s="33">
        <f t="shared" si="3"/>
        <v>0</v>
      </c>
      <c r="I79" s="276"/>
      <c r="J79" s="275"/>
      <c r="K79" s="275"/>
      <c r="L79" s="275"/>
    </row>
    <row r="80" spans="1:12" x14ac:dyDescent="0.35">
      <c r="A80" s="4"/>
      <c r="B80" s="4"/>
      <c r="C80" s="4"/>
      <c r="D80" s="4"/>
      <c r="E80" s="4"/>
      <c r="F80" s="4"/>
      <c r="G80" s="4"/>
      <c r="H80" s="4"/>
      <c r="I80" s="2"/>
      <c r="J80" s="4"/>
      <c r="K80" s="4"/>
      <c r="L80" s="4"/>
    </row>
    <row r="81" spans="1:18" x14ac:dyDescent="0.35">
      <c r="A81" s="391" t="s">
        <v>73</v>
      </c>
      <c r="B81" s="391"/>
      <c r="C81" s="391"/>
      <c r="D81" s="391"/>
      <c r="E81" s="391"/>
      <c r="F81" s="391"/>
      <c r="G81" s="391"/>
      <c r="H81" s="391"/>
      <c r="I81" s="2"/>
      <c r="J81" s="4"/>
      <c r="K81" s="4"/>
      <c r="L81" s="4"/>
    </row>
    <row r="82" spans="1:18" ht="73.5" customHeight="1" x14ac:dyDescent="0.35">
      <c r="A82" s="1" t="s">
        <v>60</v>
      </c>
      <c r="B82" s="392" t="s">
        <v>224</v>
      </c>
      <c r="C82" s="392"/>
      <c r="D82" s="393" t="s">
        <v>192</v>
      </c>
      <c r="E82" s="393"/>
      <c r="F82" s="393"/>
      <c r="G82" s="148">
        <v>2.47E-2</v>
      </c>
      <c r="H82" s="149"/>
      <c r="I82" s="375" t="s">
        <v>193</v>
      </c>
      <c r="J82" s="376"/>
      <c r="K82" s="4"/>
      <c r="L82" s="4"/>
    </row>
    <row r="83" spans="1:18" ht="15" thickBot="1" x14ac:dyDescent="0.4">
      <c r="A83" s="4"/>
      <c r="B83" s="4"/>
      <c r="C83" s="4"/>
      <c r="D83" s="4"/>
      <c r="E83" s="4"/>
      <c r="F83" s="4"/>
      <c r="G83" s="4"/>
      <c r="H83" s="4"/>
      <c r="I83" s="7"/>
      <c r="J83" s="7"/>
      <c r="K83" s="4"/>
      <c r="L83" s="4"/>
    </row>
    <row r="84" spans="1:18" ht="30" customHeight="1" thickBot="1" x14ac:dyDescent="0.4">
      <c r="A84" s="394" t="s">
        <v>283</v>
      </c>
      <c r="B84" s="395"/>
      <c r="C84" s="395"/>
      <c r="D84" s="395"/>
      <c r="E84" s="395"/>
      <c r="F84" s="395"/>
      <c r="G84" s="395"/>
      <c r="H84" s="396"/>
      <c r="I84" s="4"/>
      <c r="J84" s="4"/>
      <c r="K84" s="431"/>
      <c r="L84" s="431"/>
      <c r="M84" s="431"/>
      <c r="N84" s="431"/>
      <c r="O84" s="431"/>
      <c r="P84" s="431"/>
      <c r="Q84" s="431"/>
      <c r="R84" s="431"/>
    </row>
    <row r="85" spans="1:18" ht="15" thickBot="1" x14ac:dyDescent="0.4">
      <c r="A85" s="397" t="s">
        <v>286</v>
      </c>
      <c r="B85" s="398"/>
      <c r="C85" s="398"/>
      <c r="D85" s="398"/>
      <c r="E85" s="398"/>
      <c r="F85" s="398"/>
      <c r="G85" s="398"/>
      <c r="H85" s="399"/>
      <c r="I85" s="7"/>
      <c r="J85" s="7"/>
      <c r="K85" s="404"/>
      <c r="L85" s="404"/>
      <c r="M85" s="404"/>
      <c r="N85" s="404"/>
      <c r="O85" s="404"/>
      <c r="P85" s="404"/>
      <c r="Q85" s="404"/>
      <c r="R85" s="404"/>
    </row>
    <row r="86" spans="1:18" ht="15" thickBot="1" x14ac:dyDescent="0.4">
      <c r="A86" s="356"/>
      <c r="B86" s="357"/>
      <c r="C86" s="357"/>
      <c r="D86" s="357"/>
      <c r="E86" s="357"/>
      <c r="F86" s="357"/>
      <c r="G86" s="357"/>
      <c r="H86" s="358"/>
      <c r="I86" s="7"/>
      <c r="J86" s="7"/>
      <c r="K86" s="404"/>
      <c r="L86" s="404"/>
      <c r="M86" s="404"/>
      <c r="N86" s="404"/>
      <c r="O86" s="404"/>
      <c r="P86" s="404"/>
      <c r="Q86" s="404"/>
      <c r="R86" s="404"/>
    </row>
    <row r="87" spans="1:18" ht="15" thickBot="1" x14ac:dyDescent="0.4">
      <c r="A87" s="387" t="s">
        <v>273</v>
      </c>
      <c r="B87" s="388"/>
      <c r="C87" s="388"/>
      <c r="D87" s="388"/>
      <c r="E87" s="388"/>
      <c r="F87" s="407">
        <v>0.03</v>
      </c>
      <c r="G87" s="407"/>
      <c r="H87" s="408"/>
      <c r="I87" s="7"/>
      <c r="J87" s="7"/>
      <c r="K87" s="428"/>
      <c r="L87" s="428"/>
      <c r="M87" s="428"/>
      <c r="N87" s="428"/>
      <c r="O87" s="428"/>
      <c r="P87" s="432"/>
      <c r="Q87" s="432"/>
      <c r="R87" s="432"/>
    </row>
    <row r="88" spans="1:18" ht="15" thickBot="1" x14ac:dyDescent="0.4">
      <c r="A88" s="387"/>
      <c r="B88" s="388"/>
      <c r="C88" s="388"/>
      <c r="D88" s="388"/>
      <c r="E88" s="388"/>
      <c r="F88" s="388"/>
      <c r="G88" s="388"/>
      <c r="H88" s="415"/>
      <c r="I88" s="7"/>
      <c r="J88" s="7"/>
      <c r="K88" s="428"/>
      <c r="L88" s="428"/>
      <c r="M88" s="428"/>
      <c r="N88" s="428"/>
      <c r="O88" s="428"/>
      <c r="P88" s="428"/>
      <c r="Q88" s="428"/>
      <c r="R88" s="428"/>
    </row>
    <row r="89" spans="1:18" ht="15" thickBot="1" x14ac:dyDescent="0.4">
      <c r="A89" s="389" t="s">
        <v>274</v>
      </c>
      <c r="B89" s="390"/>
      <c r="C89" s="390"/>
      <c r="D89" s="390"/>
      <c r="E89" s="390"/>
      <c r="F89" s="409">
        <v>8.0000000000000002E-3</v>
      </c>
      <c r="G89" s="409"/>
      <c r="H89" s="410"/>
      <c r="I89" s="7"/>
      <c r="J89" s="7"/>
      <c r="K89" s="429"/>
      <c r="L89" s="429"/>
      <c r="M89" s="429"/>
      <c r="N89" s="429"/>
      <c r="O89" s="429"/>
      <c r="P89" s="427"/>
      <c r="Q89" s="427"/>
      <c r="R89" s="427"/>
    </row>
    <row r="90" spans="1:18" ht="15" thickBot="1" x14ac:dyDescent="0.4">
      <c r="A90" s="356"/>
      <c r="B90" s="357"/>
      <c r="C90" s="357"/>
      <c r="D90" s="357"/>
      <c r="E90" s="357"/>
      <c r="F90" s="357"/>
      <c r="G90" s="357"/>
      <c r="H90" s="358"/>
      <c r="I90" s="7"/>
      <c r="J90" s="7"/>
      <c r="K90" s="404"/>
      <c r="L90" s="404"/>
      <c r="M90" s="404"/>
      <c r="N90" s="404"/>
      <c r="O90" s="404"/>
      <c r="P90" s="404"/>
      <c r="Q90" s="404"/>
      <c r="R90" s="404"/>
    </row>
    <row r="91" spans="1:18" ht="15" thickBot="1" x14ac:dyDescent="0.4">
      <c r="A91" s="356" t="s">
        <v>275</v>
      </c>
      <c r="B91" s="357"/>
      <c r="C91" s="357"/>
      <c r="D91" s="357"/>
      <c r="E91" s="357"/>
      <c r="F91" s="409">
        <v>9.7000000000000003E-3</v>
      </c>
      <c r="G91" s="409"/>
      <c r="H91" s="410"/>
      <c r="I91" s="7"/>
      <c r="J91" s="7"/>
      <c r="K91" s="404"/>
      <c r="L91" s="404"/>
      <c r="M91" s="404"/>
      <c r="N91" s="404"/>
      <c r="O91" s="404"/>
      <c r="P91" s="427"/>
      <c r="Q91" s="427"/>
      <c r="R91" s="427"/>
    </row>
    <row r="92" spans="1:18" ht="15" thickBot="1" x14ac:dyDescent="0.4">
      <c r="A92" s="387"/>
      <c r="B92" s="388"/>
      <c r="C92" s="388"/>
      <c r="D92" s="388"/>
      <c r="E92" s="388"/>
      <c r="F92" s="388"/>
      <c r="G92" s="388"/>
      <c r="H92" s="415"/>
      <c r="I92" s="7"/>
      <c r="J92" s="7"/>
      <c r="K92" s="428"/>
      <c r="L92" s="428"/>
      <c r="M92" s="428"/>
      <c r="N92" s="428"/>
      <c r="O92" s="428"/>
      <c r="P92" s="428"/>
      <c r="Q92" s="428"/>
      <c r="R92" s="428"/>
    </row>
    <row r="93" spans="1:18" ht="15" thickBot="1" x14ac:dyDescent="0.4">
      <c r="A93" s="389" t="s">
        <v>276</v>
      </c>
      <c r="B93" s="390"/>
      <c r="C93" s="390"/>
      <c r="D93" s="390"/>
      <c r="E93" s="390"/>
      <c r="F93" s="409">
        <v>5.8999999999999999E-3</v>
      </c>
      <c r="G93" s="409"/>
      <c r="H93" s="410"/>
      <c r="I93" s="7"/>
      <c r="J93" s="7"/>
      <c r="K93" s="429"/>
      <c r="L93" s="429"/>
      <c r="M93" s="429"/>
      <c r="N93" s="429"/>
      <c r="O93" s="429"/>
      <c r="P93" s="427"/>
      <c r="Q93" s="427"/>
      <c r="R93" s="427"/>
    </row>
    <row r="94" spans="1:18" ht="15" thickBot="1" x14ac:dyDescent="0.4">
      <c r="A94" s="424"/>
      <c r="B94" s="425"/>
      <c r="C94" s="425"/>
      <c r="D94" s="425"/>
      <c r="E94" s="425"/>
      <c r="F94" s="425"/>
      <c r="G94" s="425"/>
      <c r="H94" s="426"/>
      <c r="I94" s="7"/>
      <c r="J94" s="7"/>
      <c r="K94" s="430"/>
      <c r="L94" s="430"/>
      <c r="M94" s="430"/>
      <c r="N94" s="430"/>
      <c r="O94" s="430"/>
      <c r="P94" s="430"/>
      <c r="Q94" s="430"/>
      <c r="R94" s="430"/>
    </row>
    <row r="95" spans="1:18" ht="15" thickBot="1" x14ac:dyDescent="0.4">
      <c r="A95" s="356" t="s">
        <v>277</v>
      </c>
      <c r="B95" s="357"/>
      <c r="C95" s="357"/>
      <c r="D95" s="357"/>
      <c r="E95" s="357"/>
      <c r="F95" s="409">
        <v>7.3999999999999996E-2</v>
      </c>
      <c r="G95" s="409"/>
      <c r="H95" s="410"/>
      <c r="I95" s="7"/>
      <c r="J95" s="7"/>
      <c r="K95" s="404"/>
      <c r="L95" s="404"/>
      <c r="M95" s="404"/>
      <c r="N95" s="404"/>
      <c r="O95" s="404"/>
      <c r="P95" s="427"/>
      <c r="Q95" s="427"/>
      <c r="R95" s="427"/>
    </row>
    <row r="96" spans="1:18" ht="15" thickBot="1" x14ac:dyDescent="0.4">
      <c r="A96" s="384"/>
      <c r="B96" s="385"/>
      <c r="C96" s="385"/>
      <c r="D96" s="385"/>
      <c r="E96" s="385"/>
      <c r="F96" s="385"/>
      <c r="G96" s="385"/>
      <c r="H96" s="386"/>
      <c r="I96" s="7"/>
      <c r="J96" s="7"/>
      <c r="K96" s="404"/>
      <c r="L96" s="404"/>
      <c r="M96" s="404"/>
      <c r="N96" s="404"/>
      <c r="O96" s="404"/>
      <c r="P96" s="404"/>
      <c r="Q96" s="404"/>
      <c r="R96" s="404"/>
    </row>
    <row r="97" spans="1:18" ht="15" thickBot="1" x14ac:dyDescent="0.4">
      <c r="A97" s="356" t="s">
        <v>278</v>
      </c>
      <c r="B97" s="357"/>
      <c r="C97" s="357"/>
      <c r="D97" s="357"/>
      <c r="E97" s="358"/>
      <c r="F97" s="418">
        <f>F98+F99+F100</f>
        <v>8.6499999999999994E-2</v>
      </c>
      <c r="G97" s="419"/>
      <c r="H97" s="420"/>
      <c r="I97" s="7"/>
      <c r="J97" s="7"/>
      <c r="K97" s="404"/>
      <c r="L97" s="404"/>
      <c r="M97" s="404"/>
      <c r="N97" s="404"/>
      <c r="O97" s="404"/>
      <c r="P97" s="405"/>
      <c r="Q97" s="405"/>
      <c r="R97" s="405"/>
    </row>
    <row r="98" spans="1:18" ht="15" thickBot="1" x14ac:dyDescent="0.4">
      <c r="A98" s="416" t="s">
        <v>279</v>
      </c>
      <c r="B98" s="417"/>
      <c r="C98" s="417"/>
      <c r="D98" s="417"/>
      <c r="E98" s="417"/>
      <c r="F98" s="411">
        <f>G28</f>
        <v>6.4999999999999997E-3</v>
      </c>
      <c r="G98" s="411"/>
      <c r="H98" s="412"/>
      <c r="I98" s="7"/>
      <c r="J98" s="7"/>
      <c r="K98" s="406"/>
      <c r="L98" s="406"/>
      <c r="M98" s="406"/>
      <c r="N98" s="406"/>
      <c r="O98" s="406"/>
      <c r="P98" s="405"/>
      <c r="Q98" s="405"/>
      <c r="R98" s="405"/>
    </row>
    <row r="99" spans="1:18" ht="15" thickBot="1" x14ac:dyDescent="0.4">
      <c r="A99" s="389" t="s">
        <v>280</v>
      </c>
      <c r="B99" s="390"/>
      <c r="C99" s="390"/>
      <c r="D99" s="390"/>
      <c r="E99" s="390"/>
      <c r="F99" s="413">
        <f>G29</f>
        <v>0.03</v>
      </c>
      <c r="G99" s="413"/>
      <c r="H99" s="414"/>
      <c r="I99" s="7"/>
      <c r="J99" s="7"/>
      <c r="K99" s="429"/>
      <c r="L99" s="429"/>
      <c r="M99" s="429"/>
      <c r="N99" s="429"/>
      <c r="O99" s="429"/>
      <c r="P99" s="427"/>
      <c r="Q99" s="427"/>
      <c r="R99" s="427"/>
    </row>
    <row r="100" spans="1:18" ht="15" thickBot="1" x14ac:dyDescent="0.4">
      <c r="A100" s="389" t="s">
        <v>281</v>
      </c>
      <c r="B100" s="390"/>
      <c r="C100" s="390"/>
      <c r="D100" s="390"/>
      <c r="E100" s="390"/>
      <c r="F100" s="413">
        <f>G31</f>
        <v>0.05</v>
      </c>
      <c r="G100" s="413"/>
      <c r="H100" s="414"/>
      <c r="I100" s="7"/>
      <c r="J100" s="7"/>
      <c r="K100" s="429"/>
      <c r="L100" s="429"/>
      <c r="M100" s="429"/>
      <c r="N100" s="429"/>
      <c r="O100" s="429"/>
      <c r="P100" s="427"/>
      <c r="Q100" s="427"/>
      <c r="R100" s="427"/>
    </row>
    <row r="101" spans="1:18" ht="15" thickBot="1" x14ac:dyDescent="0.4">
      <c r="A101" s="421"/>
      <c r="B101" s="422"/>
      <c r="C101" s="422"/>
      <c r="D101" s="422"/>
      <c r="E101" s="422"/>
      <c r="F101" s="422"/>
      <c r="G101" s="422"/>
      <c r="H101" s="423"/>
      <c r="I101" s="7"/>
      <c r="J101" s="7"/>
      <c r="K101" s="433"/>
      <c r="L101" s="433"/>
      <c r="M101" s="433"/>
      <c r="N101" s="433"/>
      <c r="O101" s="433"/>
      <c r="P101" s="433"/>
      <c r="Q101" s="433"/>
      <c r="R101" s="433"/>
    </row>
    <row r="102" spans="1:18" ht="15" thickBot="1" x14ac:dyDescent="0.4">
      <c r="A102" s="356" t="s">
        <v>282</v>
      </c>
      <c r="B102" s="357"/>
      <c r="C102" s="357"/>
      <c r="D102" s="357"/>
      <c r="E102" s="358"/>
      <c r="F102" s="211">
        <f>(((1+F87+F89+F91))*(1+F93)*(1+F95)/(1-F97)-1)</f>
        <v>0.23904614758620713</v>
      </c>
      <c r="G102" s="438"/>
      <c r="H102" s="439"/>
      <c r="I102" s="7"/>
      <c r="J102" s="7"/>
      <c r="K102" s="404"/>
      <c r="L102" s="404"/>
      <c r="M102" s="404"/>
      <c r="N102" s="404"/>
      <c r="O102" s="404"/>
      <c r="P102" s="215"/>
      <c r="Q102" s="434"/>
      <c r="R102" s="434"/>
    </row>
    <row r="103" spans="1:18" x14ac:dyDescent="0.35">
      <c r="A103" s="436" t="s">
        <v>294</v>
      </c>
      <c r="B103" s="436"/>
      <c r="C103" s="436"/>
      <c r="D103" s="436"/>
      <c r="E103" s="436"/>
      <c r="F103" s="436"/>
      <c r="G103" s="436"/>
      <c r="H103" s="436"/>
      <c r="I103" s="7"/>
      <c r="J103" s="7"/>
      <c r="K103" s="435"/>
      <c r="L103" s="435"/>
      <c r="M103" s="435"/>
      <c r="N103" s="435"/>
      <c r="O103" s="435"/>
      <c r="P103" s="435"/>
      <c r="Q103" s="435"/>
      <c r="R103" s="435"/>
    </row>
    <row r="104" spans="1:18" x14ac:dyDescent="0.35">
      <c r="A104" s="437"/>
      <c r="B104" s="437"/>
      <c r="C104" s="437"/>
      <c r="D104" s="437"/>
      <c r="E104" s="437"/>
      <c r="F104" s="437"/>
      <c r="G104" s="437"/>
      <c r="H104" s="437"/>
      <c r="I104" s="7"/>
      <c r="J104" s="7"/>
      <c r="K104" s="210"/>
      <c r="L104" s="210"/>
    </row>
    <row r="105" spans="1:18" ht="15" thickBot="1" x14ac:dyDescent="0.4">
      <c r="A105" s="208"/>
      <c r="B105" s="208"/>
      <c r="C105" s="208"/>
      <c r="D105" s="208"/>
      <c r="E105" s="209"/>
      <c r="F105" s="209"/>
      <c r="G105" s="209"/>
      <c r="H105" s="209"/>
      <c r="I105" s="7"/>
      <c r="J105" s="7"/>
      <c r="K105" s="7"/>
      <c r="L105" s="7"/>
    </row>
    <row r="106" spans="1:18" x14ac:dyDescent="0.35">
      <c r="A106" s="359" t="s">
        <v>341</v>
      </c>
      <c r="B106" s="360"/>
      <c r="C106" s="360"/>
      <c r="D106" s="360"/>
      <c r="E106" s="360"/>
      <c r="F106" s="360"/>
      <c r="G106" s="360"/>
      <c r="H106" s="361"/>
      <c r="I106" s="7"/>
      <c r="J106" s="7"/>
      <c r="K106" s="7"/>
      <c r="L106" s="7"/>
    </row>
    <row r="107" spans="1:18" x14ac:dyDescent="0.35">
      <c r="A107" s="362"/>
      <c r="B107" s="363"/>
      <c r="C107" s="363"/>
      <c r="D107" s="363"/>
      <c r="E107" s="363"/>
      <c r="F107" s="363"/>
      <c r="G107" s="363"/>
      <c r="H107" s="364"/>
      <c r="I107" s="7"/>
      <c r="J107" s="7"/>
      <c r="K107" s="7"/>
      <c r="L107" s="7"/>
    </row>
    <row r="108" spans="1:18" x14ac:dyDescent="0.35">
      <c r="A108" s="362"/>
      <c r="B108" s="363"/>
      <c r="C108" s="363"/>
      <c r="D108" s="363"/>
      <c r="E108" s="363"/>
      <c r="F108" s="363"/>
      <c r="G108" s="363"/>
      <c r="H108" s="364"/>
      <c r="I108" s="4"/>
      <c r="J108" s="4"/>
      <c r="K108" s="4"/>
      <c r="L108" s="4"/>
    </row>
    <row r="109" spans="1:18" x14ac:dyDescent="0.35">
      <c r="A109" s="362"/>
      <c r="B109" s="363"/>
      <c r="C109" s="363"/>
      <c r="D109" s="363"/>
      <c r="E109" s="363"/>
      <c r="F109" s="363"/>
      <c r="G109" s="363"/>
      <c r="H109" s="364"/>
      <c r="I109" s="4"/>
      <c r="J109" s="4"/>
      <c r="K109" s="4"/>
      <c r="L109" s="4"/>
    </row>
    <row r="110" spans="1:18" x14ac:dyDescent="0.35">
      <c r="A110" s="362"/>
      <c r="B110" s="363"/>
      <c r="C110" s="363"/>
      <c r="D110" s="363"/>
      <c r="E110" s="363"/>
      <c r="F110" s="363"/>
      <c r="G110" s="363"/>
      <c r="H110" s="364"/>
      <c r="I110" s="4"/>
      <c r="J110" s="4"/>
      <c r="K110" s="4"/>
      <c r="L110" s="4"/>
    </row>
    <row r="111" spans="1:18" ht="15" thickBot="1" x14ac:dyDescent="0.4">
      <c r="A111" s="365"/>
      <c r="B111" s="366"/>
      <c r="C111" s="366"/>
      <c r="D111" s="366"/>
      <c r="E111" s="366"/>
      <c r="F111" s="366"/>
      <c r="G111" s="366"/>
      <c r="H111" s="367"/>
      <c r="I111" s="4"/>
      <c r="J111" s="4"/>
      <c r="K111" s="4"/>
      <c r="L111" s="4"/>
    </row>
  </sheetData>
  <mergeCells count="182">
    <mergeCell ref="K99:O99"/>
    <mergeCell ref="P99:R99"/>
    <mergeCell ref="K100:O100"/>
    <mergeCell ref="P100:R100"/>
    <mergeCell ref="K101:R101"/>
    <mergeCell ref="K102:O102"/>
    <mergeCell ref="Q102:R102"/>
    <mergeCell ref="K103:R103"/>
    <mergeCell ref="A103:H104"/>
    <mergeCell ref="G102:H102"/>
    <mergeCell ref="K92:R92"/>
    <mergeCell ref="K93:O93"/>
    <mergeCell ref="P93:R93"/>
    <mergeCell ref="K94:R94"/>
    <mergeCell ref="K95:O95"/>
    <mergeCell ref="P95:R95"/>
    <mergeCell ref="K96:R96"/>
    <mergeCell ref="K84:R84"/>
    <mergeCell ref="K85:R85"/>
    <mergeCell ref="K86:R86"/>
    <mergeCell ref="K87:O87"/>
    <mergeCell ref="P87:R87"/>
    <mergeCell ref="K88:R88"/>
    <mergeCell ref="K89:O89"/>
    <mergeCell ref="P89:R89"/>
    <mergeCell ref="K90:R90"/>
    <mergeCell ref="K97:O97"/>
    <mergeCell ref="P97:R97"/>
    <mergeCell ref="K98:O98"/>
    <mergeCell ref="P98:R98"/>
    <mergeCell ref="A102:E102"/>
    <mergeCell ref="F87:H87"/>
    <mergeCell ref="F89:H89"/>
    <mergeCell ref="F91:H91"/>
    <mergeCell ref="F93:H93"/>
    <mergeCell ref="F95:H95"/>
    <mergeCell ref="F98:H98"/>
    <mergeCell ref="F99:H99"/>
    <mergeCell ref="F100:H100"/>
    <mergeCell ref="A88:H88"/>
    <mergeCell ref="A98:E98"/>
    <mergeCell ref="A99:E99"/>
    <mergeCell ref="A100:E100"/>
    <mergeCell ref="F97:H97"/>
    <mergeCell ref="A101:H101"/>
    <mergeCell ref="A94:H94"/>
    <mergeCell ref="A92:H92"/>
    <mergeCell ref="A90:H90"/>
    <mergeCell ref="K91:O91"/>
    <mergeCell ref="P91:R91"/>
    <mergeCell ref="F20:H20"/>
    <mergeCell ref="A20:E20"/>
    <mergeCell ref="I82:J82"/>
    <mergeCell ref="I66:L67"/>
    <mergeCell ref="E65:H65"/>
    <mergeCell ref="A96:H96"/>
    <mergeCell ref="A87:E87"/>
    <mergeCell ref="A89:E89"/>
    <mergeCell ref="A91:E91"/>
    <mergeCell ref="A86:H86"/>
    <mergeCell ref="A81:H81"/>
    <mergeCell ref="B82:C82"/>
    <mergeCell ref="D82:F82"/>
    <mergeCell ref="A84:H84"/>
    <mergeCell ref="A85:H85"/>
    <mergeCell ref="A69:F69"/>
    <mergeCell ref="A70:F70"/>
    <mergeCell ref="A72:H72"/>
    <mergeCell ref="A62:D62"/>
    <mergeCell ref="A64:D64"/>
    <mergeCell ref="A93:E93"/>
    <mergeCell ref="A95:E95"/>
    <mergeCell ref="A58:H58"/>
    <mergeCell ref="A59:B59"/>
    <mergeCell ref="A97:E97"/>
    <mergeCell ref="A106:H111"/>
    <mergeCell ref="B73:F73"/>
    <mergeCell ref="B74:C74"/>
    <mergeCell ref="D74:D79"/>
    <mergeCell ref="F74:F79"/>
    <mergeCell ref="B75:C75"/>
    <mergeCell ref="B76:C76"/>
    <mergeCell ref="B77:C77"/>
    <mergeCell ref="B78:C78"/>
    <mergeCell ref="B79:C79"/>
    <mergeCell ref="C59:D59"/>
    <mergeCell ref="E59:F59"/>
    <mergeCell ref="G59:H59"/>
    <mergeCell ref="A60:B60"/>
    <mergeCell ref="C60:D60"/>
    <mergeCell ref="E60:F60"/>
    <mergeCell ref="A68:H68"/>
    <mergeCell ref="A66:D66"/>
    <mergeCell ref="A55:C55"/>
    <mergeCell ref="D55:E55"/>
    <mergeCell ref="F55:H55"/>
    <mergeCell ref="A56:C56"/>
    <mergeCell ref="D56:E56"/>
    <mergeCell ref="A50:C50"/>
    <mergeCell ref="D50:F50"/>
    <mergeCell ref="A52:D52"/>
    <mergeCell ref="A54:H54"/>
    <mergeCell ref="A46:B46"/>
    <mergeCell ref="C46:D46"/>
    <mergeCell ref="E46:F46"/>
    <mergeCell ref="A48:H48"/>
    <mergeCell ref="A49:C49"/>
    <mergeCell ref="D49:F49"/>
    <mergeCell ref="G49:H49"/>
    <mergeCell ref="A42:D42"/>
    <mergeCell ref="E42:H42"/>
    <mergeCell ref="A44:H44"/>
    <mergeCell ref="A45:B45"/>
    <mergeCell ref="C45:D45"/>
    <mergeCell ref="E45:F45"/>
    <mergeCell ref="G45:H45"/>
    <mergeCell ref="A39:D39"/>
    <mergeCell ref="E39:H39"/>
    <mergeCell ref="A40:D40"/>
    <mergeCell ref="E40:H40"/>
    <mergeCell ref="A41:D41"/>
    <mergeCell ref="E41:H41"/>
    <mergeCell ref="A37:H37"/>
    <mergeCell ref="A38:D38"/>
    <mergeCell ref="E38:H38"/>
    <mergeCell ref="A33:C33"/>
    <mergeCell ref="A34:L34"/>
    <mergeCell ref="A35:D35"/>
    <mergeCell ref="A36:D36"/>
    <mergeCell ref="A27:F27"/>
    <mergeCell ref="A28:C29"/>
    <mergeCell ref="D28:F28"/>
    <mergeCell ref="H28:H29"/>
    <mergeCell ref="D29:F29"/>
    <mergeCell ref="A30:C31"/>
    <mergeCell ref="D31:F31"/>
    <mergeCell ref="I27:I31"/>
    <mergeCell ref="A24:E24"/>
    <mergeCell ref="A25:B25"/>
    <mergeCell ref="C25:H25"/>
    <mergeCell ref="A26:B26"/>
    <mergeCell ref="C26:H26"/>
    <mergeCell ref="A21:E21"/>
    <mergeCell ref="F21:H21"/>
    <mergeCell ref="A22:D22"/>
    <mergeCell ref="A23:E23"/>
    <mergeCell ref="A11:E11"/>
    <mergeCell ref="F11:H11"/>
    <mergeCell ref="A17:E17"/>
    <mergeCell ref="F17:H17"/>
    <mergeCell ref="A18:E18"/>
    <mergeCell ref="F18:H18"/>
    <mergeCell ref="A19:E19"/>
    <mergeCell ref="F19:H19"/>
    <mergeCell ref="A15:E15"/>
    <mergeCell ref="F15:H15"/>
    <mergeCell ref="A16:E16"/>
    <mergeCell ref="F16:H16"/>
    <mergeCell ref="I1:J24"/>
    <mergeCell ref="I76:L79"/>
    <mergeCell ref="A4:C4"/>
    <mergeCell ref="D4:F4"/>
    <mergeCell ref="A5:E5"/>
    <mergeCell ref="F5:H5"/>
    <mergeCell ref="A6:E6"/>
    <mergeCell ref="F6:H6"/>
    <mergeCell ref="A1:C1"/>
    <mergeCell ref="D1:H1"/>
    <mergeCell ref="A2:C2"/>
    <mergeCell ref="D2:H2"/>
    <mergeCell ref="A3:C3"/>
    <mergeCell ref="D3:H3"/>
    <mergeCell ref="A12:E12"/>
    <mergeCell ref="F12:H12"/>
    <mergeCell ref="A13:E13"/>
    <mergeCell ref="F13:H13"/>
    <mergeCell ref="A14:E14"/>
    <mergeCell ref="F14:H14"/>
    <mergeCell ref="A8:D8"/>
    <mergeCell ref="E8:H8"/>
    <mergeCell ref="A9:D9"/>
    <mergeCell ref="E9:H9"/>
  </mergeCells>
  <conditionalFormatting sqref="C26:H26">
    <cfRule type="expression" dxfId="9" priority="11">
      <formula>$A$26="Simples Nacional"</formula>
    </cfRule>
  </conditionalFormatting>
  <conditionalFormatting sqref="F6">
    <cfRule type="cellIs" dxfId="8" priority="10" operator="equal">
      <formula>0</formula>
    </cfRule>
  </conditionalFormatting>
  <dataValidations count="2">
    <dataValidation allowBlank="1" showInputMessage="1" showErrorMessage="1" sqref="F6 G31" xr:uid="{A320DBB8-C8A5-4000-9C68-BAC89FB20D42}">
      <formula1>0</formula1>
      <formula2>0</formula2>
    </dataValidation>
    <dataValidation type="list" allowBlank="1" showInputMessage="1" showErrorMessage="1" sqref="A26" xr:uid="{F5136AC9-EB8B-49BC-AC09-8E1CEAF969FD}">
      <formula1>"Lucro Real,Lucro Presumido,Simples Nacional"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scale="56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2350D-FB81-4E1C-8633-BFD4A4DFEA6F}">
  <sheetPr>
    <pageSetUpPr fitToPage="1"/>
  </sheetPr>
  <dimension ref="A1:G32"/>
  <sheetViews>
    <sheetView topLeftCell="A22" workbookViewId="0">
      <selection activeCell="J5" sqref="J5"/>
    </sheetView>
  </sheetViews>
  <sheetFormatPr defaultRowHeight="14.5" x14ac:dyDescent="0.35"/>
  <cols>
    <col min="1" max="1" width="25" customWidth="1"/>
    <col min="2" max="2" width="20" customWidth="1"/>
    <col min="5" max="5" width="20.81640625" customWidth="1"/>
  </cols>
  <sheetData>
    <row r="1" spans="1:7" ht="15" thickBot="1" x14ac:dyDescent="0.4">
      <c r="A1" s="440" t="s">
        <v>74</v>
      </c>
      <c r="B1" s="440"/>
      <c r="C1" s="440"/>
      <c r="D1" s="440"/>
      <c r="E1" s="440"/>
    </row>
    <row r="2" spans="1:7" ht="52" x14ac:dyDescent="0.35">
      <c r="A2" s="36" t="s">
        <v>75</v>
      </c>
      <c r="B2" s="36" t="s">
        <v>76</v>
      </c>
      <c r="C2" s="36" t="s">
        <v>77</v>
      </c>
      <c r="D2" s="37" t="s">
        <v>78</v>
      </c>
      <c r="E2" s="266" t="s">
        <v>79</v>
      </c>
      <c r="F2" s="444" t="s">
        <v>341</v>
      </c>
      <c r="G2" s="445"/>
    </row>
    <row r="3" spans="1:7" ht="29" x14ac:dyDescent="0.35">
      <c r="A3" s="39" t="s">
        <v>215</v>
      </c>
      <c r="B3" s="40">
        <v>135</v>
      </c>
      <c r="C3" s="41">
        <v>6</v>
      </c>
      <c r="D3" s="41">
        <v>2</v>
      </c>
      <c r="E3" s="267">
        <f>IF(A3="",0,ROUND(B3*D3/C3,2))</f>
        <v>45</v>
      </c>
      <c r="F3" s="446"/>
      <c r="G3" s="447"/>
    </row>
    <row r="4" spans="1:7" ht="44" thickBot="1" x14ac:dyDescent="0.4">
      <c r="A4" s="39" t="s">
        <v>80</v>
      </c>
      <c r="B4" s="40">
        <v>37.06</v>
      </c>
      <c r="C4" s="41">
        <v>6</v>
      </c>
      <c r="D4" s="41">
        <v>3</v>
      </c>
      <c r="E4" s="267">
        <f t="shared" ref="E4:E9" si="0">IF(A4="",0,ROUND(B4*D4/C4,2))</f>
        <v>18.53</v>
      </c>
      <c r="F4" s="448"/>
      <c r="G4" s="449"/>
    </row>
    <row r="5" spans="1:7" x14ac:dyDescent="0.35">
      <c r="A5" s="39" t="s">
        <v>259</v>
      </c>
      <c r="B5" s="40">
        <v>132.5</v>
      </c>
      <c r="C5" s="41">
        <v>12</v>
      </c>
      <c r="D5" s="41">
        <v>1</v>
      </c>
      <c r="E5" s="42">
        <f t="shared" si="0"/>
        <v>11.04</v>
      </c>
    </row>
    <row r="6" spans="1:7" x14ac:dyDescent="0.35">
      <c r="A6" s="39" t="s">
        <v>81</v>
      </c>
      <c r="B6" s="40">
        <v>7</v>
      </c>
      <c r="C6" s="41">
        <v>6</v>
      </c>
      <c r="D6" s="41">
        <v>3</v>
      </c>
      <c r="E6" s="42">
        <f t="shared" si="0"/>
        <v>3.5</v>
      </c>
    </row>
    <row r="7" spans="1:7" ht="72.5" x14ac:dyDescent="0.35">
      <c r="A7" s="39" t="s">
        <v>196</v>
      </c>
      <c r="B7" s="40">
        <v>74.900000000000006</v>
      </c>
      <c r="C7" s="41">
        <v>12</v>
      </c>
      <c r="D7" s="41">
        <v>1</v>
      </c>
      <c r="E7" s="42">
        <f t="shared" si="0"/>
        <v>6.24</v>
      </c>
    </row>
    <row r="8" spans="1:7" ht="29" x14ac:dyDescent="0.35">
      <c r="A8" s="39" t="s">
        <v>260</v>
      </c>
      <c r="B8" s="40">
        <v>1.66</v>
      </c>
      <c r="C8" s="41">
        <v>12</v>
      </c>
      <c r="D8" s="41">
        <v>1</v>
      </c>
      <c r="E8" s="42">
        <f t="shared" si="0"/>
        <v>0.14000000000000001</v>
      </c>
    </row>
    <row r="9" spans="1:7" x14ac:dyDescent="0.35">
      <c r="A9" s="39" t="s">
        <v>199</v>
      </c>
      <c r="B9" s="40"/>
      <c r="C9" s="41">
        <v>12</v>
      </c>
      <c r="D9" s="41">
        <v>1</v>
      </c>
      <c r="E9" s="42">
        <f t="shared" si="0"/>
        <v>0</v>
      </c>
    </row>
    <row r="10" spans="1:7" x14ac:dyDescent="0.35">
      <c r="A10" s="440" t="s">
        <v>82</v>
      </c>
      <c r="B10" s="440"/>
      <c r="C10" s="440"/>
      <c r="D10" s="440"/>
      <c r="E10" s="440"/>
    </row>
    <row r="11" spans="1:7" ht="52" x14ac:dyDescent="0.35">
      <c r="A11" s="36" t="s">
        <v>75</v>
      </c>
      <c r="B11" s="36" t="s">
        <v>76</v>
      </c>
      <c r="C11" s="36" t="s">
        <v>77</v>
      </c>
      <c r="D11" s="37" t="s">
        <v>78</v>
      </c>
      <c r="E11" s="38" t="s">
        <v>79</v>
      </c>
    </row>
    <row r="12" spans="1:7" ht="48" x14ac:dyDescent="0.35">
      <c r="A12" s="157" t="s">
        <v>257</v>
      </c>
      <c r="B12" s="40">
        <v>2.17</v>
      </c>
      <c r="C12" s="41">
        <v>1</v>
      </c>
      <c r="D12" s="41">
        <v>1</v>
      </c>
      <c r="E12" s="42">
        <f t="shared" ref="E12:E29" si="1">IF(A12="",0,ROUND(B12*D12/C12,2))</f>
        <v>2.17</v>
      </c>
    </row>
    <row r="13" spans="1:7" ht="60" x14ac:dyDescent="0.35">
      <c r="A13" s="157" t="s">
        <v>256</v>
      </c>
      <c r="B13" s="40">
        <v>9.9700000000000006</v>
      </c>
      <c r="C13" s="41">
        <v>1</v>
      </c>
      <c r="D13" s="41">
        <v>1</v>
      </c>
      <c r="E13" s="42">
        <f t="shared" si="1"/>
        <v>9.9700000000000006</v>
      </c>
    </row>
    <row r="14" spans="1:7" ht="24" x14ac:dyDescent="0.35">
      <c r="A14" s="160" t="s">
        <v>258</v>
      </c>
      <c r="B14" s="40">
        <v>3.61</v>
      </c>
      <c r="C14" s="43">
        <v>6</v>
      </c>
      <c r="D14" s="44">
        <v>1</v>
      </c>
      <c r="E14" s="42">
        <f t="shared" si="1"/>
        <v>0.6</v>
      </c>
    </row>
    <row r="15" spans="1:7" ht="24" x14ac:dyDescent="0.35">
      <c r="A15" s="158" t="s">
        <v>208</v>
      </c>
      <c r="B15" s="45">
        <f>(321.98+299.9+213.84)/3</f>
        <v>278.57333333333332</v>
      </c>
      <c r="C15" s="41">
        <v>20</v>
      </c>
      <c r="D15" s="41">
        <v>1</v>
      </c>
      <c r="E15" s="42">
        <f t="shared" si="1"/>
        <v>13.93</v>
      </c>
    </row>
    <row r="16" spans="1:7" ht="36" x14ac:dyDescent="0.35">
      <c r="A16" s="159" t="s">
        <v>207</v>
      </c>
      <c r="B16" s="45">
        <v>16.88</v>
      </c>
      <c r="C16" s="41">
        <v>20</v>
      </c>
      <c r="D16" s="41">
        <v>1</v>
      </c>
      <c r="E16" s="42">
        <f t="shared" si="1"/>
        <v>0.84</v>
      </c>
    </row>
    <row r="17" spans="1:5" ht="84" x14ac:dyDescent="0.35">
      <c r="A17" s="159" t="s">
        <v>212</v>
      </c>
      <c r="B17" s="40">
        <v>14.96</v>
      </c>
      <c r="C17" s="41">
        <v>20</v>
      </c>
      <c r="D17" s="41">
        <v>1</v>
      </c>
      <c r="E17" s="42">
        <f t="shared" si="1"/>
        <v>0.75</v>
      </c>
    </row>
    <row r="18" spans="1:5" x14ac:dyDescent="0.35">
      <c r="A18" s="159" t="s">
        <v>214</v>
      </c>
      <c r="B18" s="40">
        <v>48.95</v>
      </c>
      <c r="C18" s="41">
        <v>20</v>
      </c>
      <c r="D18" s="41">
        <v>1</v>
      </c>
      <c r="E18" s="42">
        <f t="shared" si="1"/>
        <v>2.4500000000000002</v>
      </c>
    </row>
    <row r="19" spans="1:5" ht="69" customHeight="1" x14ac:dyDescent="0.35">
      <c r="A19" s="159" t="s">
        <v>211</v>
      </c>
      <c r="B19" s="40">
        <v>4.25</v>
      </c>
      <c r="C19" s="41">
        <v>12</v>
      </c>
      <c r="D19" s="41">
        <v>1</v>
      </c>
      <c r="E19" s="42">
        <f t="shared" si="1"/>
        <v>0.35</v>
      </c>
    </row>
    <row r="20" spans="1:5" x14ac:dyDescent="0.35">
      <c r="A20" s="159" t="s">
        <v>209</v>
      </c>
      <c r="B20" s="40">
        <v>11.19</v>
      </c>
      <c r="C20" s="41">
        <v>20</v>
      </c>
      <c r="D20" s="41">
        <v>1</v>
      </c>
      <c r="E20" s="42">
        <f t="shared" si="1"/>
        <v>0.56000000000000005</v>
      </c>
    </row>
    <row r="21" spans="1:5" ht="37" customHeight="1" x14ac:dyDescent="0.35">
      <c r="A21" s="159" t="s">
        <v>210</v>
      </c>
      <c r="B21" s="40">
        <v>15</v>
      </c>
      <c r="C21" s="41">
        <v>20</v>
      </c>
      <c r="D21" s="41">
        <v>1</v>
      </c>
      <c r="E21" s="42">
        <f t="shared" si="1"/>
        <v>0.75</v>
      </c>
    </row>
    <row r="22" spans="1:5" ht="77" customHeight="1" x14ac:dyDescent="0.35">
      <c r="A22" s="159" t="s">
        <v>213</v>
      </c>
      <c r="B22" s="40">
        <v>10.83</v>
      </c>
      <c r="C22" s="41">
        <v>20</v>
      </c>
      <c r="D22" s="41">
        <v>1</v>
      </c>
      <c r="E22" s="42">
        <f t="shared" si="1"/>
        <v>0.54</v>
      </c>
    </row>
    <row r="23" spans="1:5" x14ac:dyDescent="0.35">
      <c r="A23" s="161" t="s">
        <v>199</v>
      </c>
      <c r="B23" s="40">
        <v>0</v>
      </c>
      <c r="C23" s="163">
        <v>20</v>
      </c>
      <c r="D23" s="163">
        <v>1</v>
      </c>
      <c r="E23" s="42">
        <f t="shared" si="1"/>
        <v>0</v>
      </c>
    </row>
    <row r="24" spans="1:5" x14ac:dyDescent="0.35">
      <c r="A24" s="162" t="s">
        <v>199</v>
      </c>
      <c r="B24" s="40">
        <v>0</v>
      </c>
      <c r="C24" s="163">
        <v>20</v>
      </c>
      <c r="D24" s="163">
        <v>1</v>
      </c>
      <c r="E24" s="42">
        <f t="shared" si="1"/>
        <v>0</v>
      </c>
    </row>
    <row r="25" spans="1:5" x14ac:dyDescent="0.35">
      <c r="A25" s="39"/>
      <c r="B25" s="40"/>
      <c r="C25" s="41"/>
      <c r="D25" s="41"/>
      <c r="E25" s="42">
        <f t="shared" si="1"/>
        <v>0</v>
      </c>
    </row>
    <row r="26" spans="1:5" x14ac:dyDescent="0.35">
      <c r="A26" s="39"/>
      <c r="B26" s="40"/>
      <c r="C26" s="41"/>
      <c r="D26" s="41"/>
      <c r="E26" s="42">
        <f t="shared" si="1"/>
        <v>0</v>
      </c>
    </row>
    <row r="27" spans="1:5" x14ac:dyDescent="0.35">
      <c r="A27" s="39"/>
      <c r="B27" s="40"/>
      <c r="C27" s="41"/>
      <c r="D27" s="41"/>
      <c r="E27" s="42">
        <f t="shared" si="1"/>
        <v>0</v>
      </c>
    </row>
    <row r="28" spans="1:5" x14ac:dyDescent="0.35">
      <c r="A28" s="39"/>
      <c r="B28" s="40"/>
      <c r="C28" s="41"/>
      <c r="D28" s="41"/>
      <c r="E28" s="42">
        <f t="shared" si="1"/>
        <v>0</v>
      </c>
    </row>
    <row r="29" spans="1:5" x14ac:dyDescent="0.35">
      <c r="A29" s="39"/>
      <c r="B29" s="40"/>
      <c r="C29" s="41"/>
      <c r="D29" s="41"/>
      <c r="E29" s="42">
        <f t="shared" si="1"/>
        <v>0</v>
      </c>
    </row>
    <row r="30" spans="1:5" x14ac:dyDescent="0.35">
      <c r="A30" s="46"/>
      <c r="B30" s="47"/>
      <c r="C30" s="47"/>
      <c r="D30" s="47"/>
      <c r="E30" s="48"/>
    </row>
    <row r="31" spans="1:5" x14ac:dyDescent="0.35">
      <c r="A31" s="46" t="s">
        <v>83</v>
      </c>
      <c r="B31" s="47"/>
      <c r="C31" s="47"/>
      <c r="D31" s="47"/>
      <c r="E31" s="48"/>
    </row>
    <row r="32" spans="1:5" x14ac:dyDescent="0.35">
      <c r="A32" s="441" t="s">
        <v>84</v>
      </c>
      <c r="B32" s="442"/>
      <c r="C32" s="442"/>
      <c r="D32" s="443"/>
      <c r="E32" s="49">
        <f>SUM(E3:E30)</f>
        <v>117.35999999999999</v>
      </c>
    </row>
  </sheetData>
  <mergeCells count="4">
    <mergeCell ref="A1:E1"/>
    <mergeCell ref="A10:E10"/>
    <mergeCell ref="A32:D32"/>
    <mergeCell ref="F2:G4"/>
  </mergeCells>
  <pageMargins left="0.511811024" right="0.511811024" top="0.78740157499999996" bottom="0.78740157499999996" header="0.31496062000000002" footer="0.31496062000000002"/>
  <pageSetup paperSize="9" scale="9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43AB1-E576-4D2F-B8A3-E91B33E74213}">
  <sheetPr>
    <pageSetUpPr fitToPage="1"/>
  </sheetPr>
  <dimension ref="A1:T119"/>
  <sheetViews>
    <sheetView topLeftCell="A57" zoomScale="84" zoomScaleNormal="84" workbookViewId="0">
      <selection activeCell="P61" sqref="P61"/>
    </sheetView>
  </sheetViews>
  <sheetFormatPr defaultRowHeight="14.5" x14ac:dyDescent="0.35"/>
  <cols>
    <col min="10" max="10" width="10.81640625" bestFit="1" customWidth="1"/>
    <col min="11" max="11" width="13.7265625" customWidth="1"/>
    <col min="13" max="13" width="10.90625" customWidth="1"/>
    <col min="16" max="16" width="9" bestFit="1" customWidth="1"/>
  </cols>
  <sheetData>
    <row r="1" spans="1:20" x14ac:dyDescent="0.35">
      <c r="A1" s="450" t="s">
        <v>85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50"/>
      <c r="M1" s="51"/>
      <c r="N1" s="51"/>
      <c r="O1" s="51"/>
      <c r="P1" s="51"/>
      <c r="Q1" s="51"/>
      <c r="R1" s="51"/>
      <c r="S1" s="51"/>
      <c r="T1" s="51"/>
    </row>
    <row r="2" spans="1:20" x14ac:dyDescent="0.35">
      <c r="A2" s="451" t="s">
        <v>1</v>
      </c>
      <c r="B2" s="451"/>
      <c r="C2" s="451"/>
      <c r="D2" s="452" t="s">
        <v>336</v>
      </c>
      <c r="E2" s="452"/>
      <c r="F2" s="452"/>
      <c r="G2" s="452"/>
      <c r="H2" s="452"/>
      <c r="I2" s="452"/>
      <c r="J2" s="452"/>
      <c r="K2" s="452"/>
      <c r="L2" s="53"/>
      <c r="M2" s="51"/>
      <c r="N2" s="51"/>
      <c r="O2" s="51"/>
      <c r="P2" s="51"/>
      <c r="Q2" s="51"/>
      <c r="R2" s="51"/>
      <c r="S2" s="51"/>
      <c r="T2" s="51"/>
    </row>
    <row r="3" spans="1:20" x14ac:dyDescent="0.35">
      <c r="A3" s="451" t="s">
        <v>2</v>
      </c>
      <c r="B3" s="451"/>
      <c r="C3" s="451"/>
      <c r="D3" s="453" t="s">
        <v>335</v>
      </c>
      <c r="E3" s="454"/>
      <c r="F3" s="454"/>
      <c r="G3" s="454"/>
      <c r="H3" s="454"/>
      <c r="I3" s="454"/>
      <c r="J3" s="454"/>
      <c r="K3" s="454"/>
      <c r="L3" s="54"/>
      <c r="M3" s="51"/>
      <c r="N3" s="51"/>
      <c r="O3" s="51"/>
      <c r="P3" s="51"/>
      <c r="Q3" s="51"/>
      <c r="R3" s="51"/>
      <c r="S3" s="51"/>
      <c r="T3" s="51"/>
    </row>
    <row r="4" spans="1:20" x14ac:dyDescent="0.35">
      <c r="A4" s="451" t="s">
        <v>3</v>
      </c>
      <c r="B4" s="451"/>
      <c r="C4" s="451"/>
      <c r="D4" s="455">
        <v>44887</v>
      </c>
      <c r="E4" s="455"/>
      <c r="F4" s="455"/>
      <c r="G4" s="52" t="s">
        <v>4</v>
      </c>
      <c r="H4" s="452" t="s">
        <v>330</v>
      </c>
      <c r="I4" s="452"/>
      <c r="J4" s="452"/>
      <c r="K4" s="452"/>
      <c r="L4" s="53"/>
      <c r="M4" s="51"/>
      <c r="N4" s="51"/>
      <c r="O4" s="51"/>
      <c r="P4" s="51"/>
      <c r="Q4" s="51"/>
      <c r="R4" s="51"/>
      <c r="S4" s="51"/>
      <c r="T4" s="51"/>
    </row>
    <row r="5" spans="1:20" x14ac:dyDescent="0.35">
      <c r="A5" s="456"/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55"/>
      <c r="M5" s="51"/>
      <c r="N5" s="51"/>
      <c r="O5" s="51"/>
      <c r="P5" s="51"/>
      <c r="Q5" s="51"/>
      <c r="R5" s="51"/>
      <c r="S5" s="51"/>
      <c r="T5" s="51"/>
    </row>
    <row r="6" spans="1:20" x14ac:dyDescent="0.35">
      <c r="A6" s="451" t="s">
        <v>86</v>
      </c>
      <c r="B6" s="451"/>
      <c r="C6" s="451"/>
      <c r="D6" s="457" t="s">
        <v>198</v>
      </c>
      <c r="E6" s="457"/>
      <c r="F6" s="457"/>
      <c r="G6" s="457"/>
      <c r="H6" s="457"/>
      <c r="I6" s="457"/>
      <c r="J6" s="457"/>
      <c r="K6" s="457"/>
      <c r="L6" s="56"/>
      <c r="M6" s="51"/>
      <c r="N6" s="51"/>
      <c r="O6" s="51"/>
      <c r="P6" s="51"/>
      <c r="Q6" s="51"/>
      <c r="R6" s="51"/>
      <c r="S6" s="51"/>
      <c r="T6" s="51"/>
    </row>
    <row r="7" spans="1:20" x14ac:dyDescent="0.35">
      <c r="A7" s="458" t="s">
        <v>203</v>
      </c>
      <c r="B7" s="458"/>
      <c r="C7" s="458"/>
      <c r="D7" s="458"/>
      <c r="E7" s="458"/>
      <c r="F7" s="458"/>
      <c r="G7" s="458"/>
      <c r="H7" s="458"/>
      <c r="I7" s="458"/>
      <c r="J7" s="458"/>
      <c r="K7" s="458"/>
      <c r="L7" s="55"/>
      <c r="M7" s="51"/>
      <c r="N7" s="51"/>
      <c r="O7" s="51"/>
      <c r="P7" s="51"/>
      <c r="Q7" s="51"/>
      <c r="R7" s="51"/>
      <c r="S7" s="51"/>
      <c r="T7" s="51"/>
    </row>
    <row r="8" spans="1:20" ht="40.5" customHeight="1" x14ac:dyDescent="0.35">
      <c r="A8" s="57" t="s">
        <v>87</v>
      </c>
      <c r="B8" s="459" t="s">
        <v>88</v>
      </c>
      <c r="C8" s="459"/>
      <c r="D8" s="459"/>
      <c r="E8" s="460" t="s">
        <v>197</v>
      </c>
      <c r="F8" s="461"/>
      <c r="G8" s="461"/>
      <c r="H8" s="461"/>
      <c r="I8" s="461"/>
      <c r="J8" s="461"/>
      <c r="K8" s="462"/>
      <c r="L8" s="59"/>
      <c r="M8" s="51"/>
      <c r="N8" s="51"/>
      <c r="O8" s="51"/>
      <c r="P8" s="51"/>
      <c r="Q8" s="51"/>
      <c r="R8" s="51"/>
      <c r="S8" s="51"/>
      <c r="T8" s="51"/>
    </row>
    <row r="9" spans="1:20" x14ac:dyDescent="0.35">
      <c r="A9" s="57" t="s">
        <v>87</v>
      </c>
      <c r="B9" s="452" t="s">
        <v>5</v>
      </c>
      <c r="C9" s="452"/>
      <c r="D9" s="452"/>
      <c r="E9" s="452"/>
      <c r="F9" s="452"/>
      <c r="G9" s="452"/>
      <c r="H9" s="452"/>
      <c r="I9" s="452"/>
      <c r="J9" s="452"/>
      <c r="K9" s="60">
        <v>20</v>
      </c>
      <c r="L9" s="61"/>
      <c r="M9" s="51"/>
      <c r="N9" s="51"/>
      <c r="O9" s="51"/>
      <c r="P9" s="51"/>
      <c r="Q9" s="51"/>
      <c r="R9" s="51"/>
      <c r="S9" s="51"/>
      <c r="T9" s="51"/>
    </row>
    <row r="10" spans="1:20" x14ac:dyDescent="0.3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51"/>
      <c r="N10" s="51"/>
      <c r="O10" s="51"/>
      <c r="P10" s="51"/>
      <c r="Q10" s="51"/>
      <c r="R10" s="51"/>
      <c r="S10" s="51"/>
      <c r="T10" s="51"/>
    </row>
    <row r="11" spans="1:20" x14ac:dyDescent="0.35">
      <c r="A11" s="57" t="s">
        <v>87</v>
      </c>
      <c r="B11" s="452" t="s">
        <v>6</v>
      </c>
      <c r="C11" s="452"/>
      <c r="D11" s="452"/>
      <c r="E11" s="452"/>
      <c r="F11" s="452"/>
      <c r="G11" s="452"/>
      <c r="H11" s="452"/>
      <c r="I11" s="452"/>
      <c r="J11" s="452"/>
      <c r="K11" s="58" t="s">
        <v>175</v>
      </c>
      <c r="L11" s="63"/>
      <c r="M11" s="51"/>
      <c r="N11" s="51"/>
      <c r="O11" s="51"/>
      <c r="P11" s="51"/>
      <c r="Q11" s="51"/>
      <c r="R11" s="51"/>
      <c r="S11" s="51"/>
      <c r="T11" s="51"/>
    </row>
    <row r="12" spans="1:20" ht="23" customHeight="1" x14ac:dyDescent="0.35">
      <c r="A12" s="463" t="s">
        <v>204</v>
      </c>
      <c r="B12" s="463"/>
      <c r="C12" s="463"/>
      <c r="D12" s="463"/>
      <c r="E12" s="463"/>
      <c r="F12" s="463"/>
      <c r="G12" s="463"/>
      <c r="H12" s="463"/>
      <c r="I12" s="463"/>
      <c r="J12" s="463"/>
      <c r="K12" s="463"/>
      <c r="L12" s="62"/>
      <c r="M12" s="51"/>
      <c r="N12" s="51"/>
      <c r="O12" s="51"/>
      <c r="P12" s="51"/>
      <c r="Q12" s="51"/>
      <c r="R12" s="51"/>
      <c r="S12" s="51"/>
      <c r="T12" s="51"/>
    </row>
    <row r="13" spans="1:20" x14ac:dyDescent="0.35">
      <c r="A13" s="451" t="s">
        <v>89</v>
      </c>
      <c r="B13" s="451"/>
      <c r="C13" s="451"/>
      <c r="D13" s="451"/>
      <c r="E13" s="451"/>
      <c r="F13" s="451"/>
      <c r="G13" s="451"/>
      <c r="H13" s="451"/>
      <c r="I13" s="451"/>
      <c r="J13" s="451"/>
      <c r="K13" s="451"/>
      <c r="L13" s="64"/>
      <c r="M13" s="51"/>
      <c r="N13" s="51"/>
      <c r="O13" s="51"/>
      <c r="P13" s="51"/>
      <c r="Q13" s="51"/>
      <c r="R13" s="51"/>
      <c r="S13" s="51"/>
      <c r="T13" s="51"/>
    </row>
    <row r="14" spans="1:20" x14ac:dyDescent="0.35">
      <c r="A14" s="37">
        <v>1</v>
      </c>
      <c r="B14" s="452" t="s">
        <v>90</v>
      </c>
      <c r="C14" s="452"/>
      <c r="D14" s="452"/>
      <c r="E14" s="452"/>
      <c r="F14" s="452"/>
      <c r="G14" s="452"/>
      <c r="H14" s="452"/>
      <c r="I14" s="452"/>
      <c r="J14" s="452"/>
      <c r="K14" s="92">
        <f>'Dados do Licitante'!F11</f>
        <v>2283.36</v>
      </c>
      <c r="L14" s="93"/>
      <c r="M14" s="93"/>
      <c r="N14" s="51"/>
      <c r="O14" s="51"/>
      <c r="P14" s="51"/>
      <c r="Q14" s="51"/>
      <c r="R14" s="51"/>
    </row>
    <row r="15" spans="1:20" x14ac:dyDescent="0.35">
      <c r="A15" s="37">
        <v>2</v>
      </c>
      <c r="B15" s="452" t="s">
        <v>7</v>
      </c>
      <c r="C15" s="452"/>
      <c r="D15" s="452"/>
      <c r="E15" s="452"/>
      <c r="F15" s="452"/>
      <c r="G15" s="452"/>
      <c r="H15" s="452"/>
      <c r="I15" s="452"/>
      <c r="J15" s="452"/>
      <c r="K15" s="65"/>
      <c r="L15" s="63"/>
      <c r="M15" s="51"/>
      <c r="N15" s="51"/>
      <c r="O15" s="51"/>
      <c r="P15" s="51"/>
      <c r="Q15" s="51"/>
      <c r="R15" s="51"/>
      <c r="S15" s="51"/>
      <c r="T15" s="51"/>
    </row>
    <row r="16" spans="1:20" x14ac:dyDescent="0.35">
      <c r="A16" s="37">
        <v>3</v>
      </c>
      <c r="B16" s="452" t="s">
        <v>8</v>
      </c>
      <c r="C16" s="452"/>
      <c r="D16" s="452"/>
      <c r="E16" s="452"/>
      <c r="F16" s="452"/>
      <c r="G16" s="452"/>
      <c r="H16" s="452"/>
      <c r="I16" s="452"/>
      <c r="J16" s="452"/>
      <c r="K16" s="66">
        <f>'Dados do Licitante'!F16</f>
        <v>44682</v>
      </c>
      <c r="L16" s="67"/>
      <c r="M16" s="51"/>
      <c r="N16" s="51"/>
      <c r="O16" s="51"/>
      <c r="P16" s="51"/>
      <c r="Q16" s="51"/>
      <c r="R16" s="51"/>
      <c r="S16" s="51"/>
      <c r="T16" s="51"/>
    </row>
    <row r="17" spans="1:20" x14ac:dyDescent="0.35">
      <c r="A17" s="37">
        <v>4</v>
      </c>
      <c r="B17" s="452" t="s">
        <v>91</v>
      </c>
      <c r="C17" s="452"/>
      <c r="D17" s="452"/>
      <c r="E17" s="452"/>
      <c r="F17" s="452"/>
      <c r="G17" s="452"/>
      <c r="H17" s="452"/>
      <c r="I17" s="452"/>
      <c r="J17" s="452"/>
      <c r="K17" s="68" t="str">
        <f>'Dados do Licitante'!F18</f>
        <v>5143-25</v>
      </c>
      <c r="L17" s="67"/>
      <c r="M17" s="51"/>
      <c r="N17" s="51"/>
      <c r="O17" s="51"/>
      <c r="P17" s="51"/>
      <c r="Q17" s="51"/>
      <c r="R17" s="51"/>
      <c r="S17" s="51"/>
      <c r="T17" s="51"/>
    </row>
    <row r="18" spans="1:20" x14ac:dyDescent="0.35">
      <c r="A18" s="2"/>
      <c r="B18" s="62"/>
      <c r="C18" s="62"/>
      <c r="D18" s="62"/>
      <c r="E18" s="62"/>
      <c r="F18" s="62"/>
      <c r="G18" s="62"/>
      <c r="H18" s="62"/>
      <c r="I18" s="62"/>
      <c r="J18" s="62"/>
      <c r="K18" s="2"/>
      <c r="L18" s="2"/>
      <c r="M18" s="51"/>
      <c r="N18" s="51"/>
      <c r="O18" s="51"/>
      <c r="P18" s="51"/>
      <c r="Q18" s="51"/>
      <c r="R18" s="51"/>
      <c r="S18" s="51"/>
      <c r="T18" s="51"/>
    </row>
    <row r="19" spans="1:20" x14ac:dyDescent="0.35">
      <c r="A19" s="465" t="s">
        <v>92</v>
      </c>
      <c r="B19" s="465"/>
      <c r="C19" s="465"/>
      <c r="D19" s="465"/>
      <c r="E19" s="465"/>
      <c r="F19" s="465"/>
      <c r="G19" s="465"/>
      <c r="H19" s="465"/>
      <c r="I19" s="465"/>
      <c r="J19" s="465"/>
      <c r="K19" s="95"/>
      <c r="L19" s="98"/>
      <c r="M19" s="98"/>
      <c r="N19" s="98"/>
      <c r="O19" s="98"/>
      <c r="P19" s="98"/>
      <c r="Q19" s="98"/>
      <c r="R19" s="98"/>
      <c r="S19" s="98"/>
      <c r="T19" s="98"/>
    </row>
    <row r="20" spans="1:20" x14ac:dyDescent="0.35">
      <c r="A20" s="37" t="s">
        <v>57</v>
      </c>
      <c r="B20" s="452" t="s">
        <v>93</v>
      </c>
      <c r="C20" s="452"/>
      <c r="D20" s="452"/>
      <c r="E20" s="452"/>
      <c r="F20" s="452"/>
      <c r="G20" s="452"/>
      <c r="H20" s="452"/>
      <c r="I20" s="452"/>
      <c r="J20" s="452"/>
      <c r="K20" s="96">
        <f>$K$14</f>
        <v>2283.36</v>
      </c>
      <c r="L20" s="99"/>
      <c r="M20" s="99"/>
      <c r="N20" s="99"/>
      <c r="O20" s="99"/>
      <c r="P20" s="99"/>
      <c r="Q20" s="99"/>
      <c r="R20" s="99"/>
      <c r="S20" s="99"/>
      <c r="T20" s="99"/>
    </row>
    <row r="21" spans="1:20" x14ac:dyDescent="0.35">
      <c r="A21" s="37" t="s">
        <v>60</v>
      </c>
      <c r="B21" s="466" t="s">
        <v>94</v>
      </c>
      <c r="C21" s="467"/>
      <c r="D21" s="468"/>
      <c r="E21" s="466" t="s">
        <v>95</v>
      </c>
      <c r="F21" s="467"/>
      <c r="G21" s="468"/>
      <c r="H21" s="469" t="s">
        <v>96</v>
      </c>
      <c r="I21" s="470"/>
      <c r="J21" s="71">
        <v>2</v>
      </c>
      <c r="K21" s="96">
        <f>IF($J$21=1,K20*0.3,0)</f>
        <v>0</v>
      </c>
      <c r="L21" s="99"/>
      <c r="M21" s="99"/>
      <c r="N21" s="99"/>
      <c r="O21" s="99"/>
      <c r="P21" s="99"/>
      <c r="Q21" s="99"/>
      <c r="R21" s="99"/>
      <c r="S21" s="99"/>
      <c r="T21" s="99"/>
    </row>
    <row r="22" spans="1:20" x14ac:dyDescent="0.35">
      <c r="A22" s="37" t="s">
        <v>64</v>
      </c>
      <c r="B22" s="454" t="s">
        <v>97</v>
      </c>
      <c r="C22" s="454"/>
      <c r="D22" s="454"/>
      <c r="E22" s="454"/>
      <c r="F22" s="454"/>
      <c r="G22" s="454"/>
      <c r="H22" s="454"/>
      <c r="I22" s="454"/>
      <c r="J22" s="454"/>
      <c r="K22" s="96"/>
      <c r="L22" s="99"/>
      <c r="M22" s="100"/>
      <c r="N22" s="100"/>
      <c r="O22" s="100"/>
      <c r="P22" s="100"/>
      <c r="Q22" s="100"/>
      <c r="R22" s="100"/>
      <c r="S22" s="100"/>
      <c r="T22" s="100"/>
    </row>
    <row r="23" spans="1:20" x14ac:dyDescent="0.35">
      <c r="A23" s="37" t="s">
        <v>66</v>
      </c>
      <c r="B23" s="452" t="s">
        <v>98</v>
      </c>
      <c r="C23" s="452"/>
      <c r="D23" s="452"/>
      <c r="E23" s="452"/>
      <c r="F23" s="452"/>
      <c r="G23" s="452"/>
      <c r="H23" s="452"/>
      <c r="I23" s="452"/>
      <c r="J23" s="452"/>
      <c r="K23" s="96"/>
      <c r="L23" s="99"/>
      <c r="M23" s="100"/>
      <c r="N23" s="100"/>
      <c r="O23" s="100"/>
      <c r="P23" s="100"/>
      <c r="Q23" s="100"/>
      <c r="R23" s="100"/>
      <c r="S23" s="100"/>
      <c r="T23" s="100"/>
    </row>
    <row r="24" spans="1:20" x14ac:dyDescent="0.35">
      <c r="A24" s="37" t="s">
        <v>68</v>
      </c>
      <c r="B24" s="452" t="s">
        <v>99</v>
      </c>
      <c r="C24" s="452"/>
      <c r="D24" s="452"/>
      <c r="E24" s="452"/>
      <c r="F24" s="452"/>
      <c r="G24" s="452"/>
      <c r="H24" s="452"/>
      <c r="I24" s="452"/>
      <c r="J24" s="452"/>
      <c r="K24" s="96"/>
      <c r="L24" s="99"/>
      <c r="M24" s="100"/>
      <c r="N24" s="100"/>
      <c r="O24" s="100"/>
      <c r="P24" s="100"/>
      <c r="Q24" s="100"/>
      <c r="R24" s="100"/>
      <c r="S24" s="100"/>
      <c r="T24" s="100"/>
    </row>
    <row r="25" spans="1:20" x14ac:dyDescent="0.35">
      <c r="A25" s="37" t="s">
        <v>70</v>
      </c>
      <c r="B25" s="452" t="s">
        <v>53</v>
      </c>
      <c r="C25" s="452"/>
      <c r="D25" s="452"/>
      <c r="E25" s="452"/>
      <c r="F25" s="452"/>
      <c r="G25" s="452"/>
      <c r="H25" s="452"/>
      <c r="I25" s="452"/>
      <c r="J25" s="452"/>
      <c r="K25" s="96"/>
      <c r="L25" s="99"/>
      <c r="M25" s="100"/>
      <c r="N25" s="100"/>
      <c r="O25" s="100"/>
      <c r="P25" s="100"/>
      <c r="Q25" s="100"/>
      <c r="R25" s="100"/>
      <c r="S25" s="100"/>
      <c r="T25" s="100"/>
    </row>
    <row r="26" spans="1:20" x14ac:dyDescent="0.35">
      <c r="A26" s="464" t="s">
        <v>100</v>
      </c>
      <c r="B26" s="464"/>
      <c r="C26" s="464"/>
      <c r="D26" s="464"/>
      <c r="E26" s="464"/>
      <c r="F26" s="464"/>
      <c r="G26" s="464"/>
      <c r="H26" s="464"/>
      <c r="I26" s="464"/>
      <c r="J26" s="464"/>
      <c r="K26" s="97">
        <f>SUM(K20:K25)</f>
        <v>2283.36</v>
      </c>
      <c r="L26" s="101"/>
      <c r="M26" s="101"/>
      <c r="N26" s="101"/>
      <c r="O26" s="101"/>
      <c r="P26" s="101"/>
      <c r="Q26" s="101"/>
      <c r="R26" s="101"/>
      <c r="S26" s="101"/>
      <c r="T26" s="101"/>
    </row>
    <row r="27" spans="1:20" x14ac:dyDescent="0.35">
      <c r="A27" s="94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29"/>
      <c r="M27" s="29"/>
      <c r="N27" s="29"/>
      <c r="O27" s="29"/>
      <c r="P27" s="29"/>
      <c r="Q27" s="29"/>
      <c r="R27" s="29"/>
      <c r="S27" s="29"/>
      <c r="T27" s="29"/>
    </row>
    <row r="28" spans="1:20" x14ac:dyDescent="0.35">
      <c r="A28" s="465" t="s">
        <v>101</v>
      </c>
      <c r="B28" s="465"/>
      <c r="C28" s="465"/>
      <c r="D28" s="465"/>
      <c r="E28" s="465"/>
      <c r="F28" s="465"/>
      <c r="G28" s="465"/>
      <c r="H28" s="465"/>
      <c r="I28" s="465"/>
      <c r="J28" s="465"/>
      <c r="K28" s="473"/>
      <c r="L28" s="471"/>
      <c r="M28" s="471"/>
      <c r="N28" s="471"/>
      <c r="O28" s="471"/>
      <c r="P28" s="471"/>
      <c r="Q28" s="471"/>
      <c r="R28" s="471"/>
      <c r="S28" s="471"/>
      <c r="T28" s="471"/>
    </row>
    <row r="29" spans="1:20" x14ac:dyDescent="0.35">
      <c r="A29" s="472" t="s">
        <v>102</v>
      </c>
      <c r="B29" s="472"/>
      <c r="C29" s="472"/>
      <c r="D29" s="472"/>
      <c r="E29" s="472"/>
      <c r="F29" s="472"/>
      <c r="G29" s="472"/>
      <c r="H29" s="472"/>
      <c r="I29" s="472"/>
      <c r="J29" s="472"/>
      <c r="K29" s="474"/>
      <c r="L29" s="471"/>
      <c r="M29" s="471"/>
      <c r="N29" s="471"/>
      <c r="O29" s="471"/>
      <c r="P29" s="471"/>
      <c r="Q29" s="471"/>
      <c r="R29" s="471"/>
      <c r="S29" s="471"/>
      <c r="T29" s="471"/>
    </row>
    <row r="30" spans="1:20" x14ac:dyDescent="0.35">
      <c r="A30" s="37" t="s">
        <v>57</v>
      </c>
      <c r="B30" s="476" t="s">
        <v>103</v>
      </c>
      <c r="C30" s="476"/>
      <c r="D30" s="476"/>
      <c r="E30" s="476"/>
      <c r="F30" s="476"/>
      <c r="G30" s="476"/>
      <c r="H30" s="476"/>
      <c r="I30" s="476"/>
      <c r="J30" s="73">
        <v>8.3299999999999999E-2</v>
      </c>
      <c r="K30" s="96">
        <f>TRUNC(K26*$J$30,2)</f>
        <v>190.2</v>
      </c>
      <c r="L30" s="99"/>
      <c r="M30" s="99"/>
      <c r="N30" s="99"/>
      <c r="O30" s="99"/>
      <c r="P30" s="99"/>
      <c r="Q30" s="99"/>
      <c r="R30" s="99"/>
      <c r="S30" s="99"/>
      <c r="T30" s="99"/>
    </row>
    <row r="31" spans="1:20" x14ac:dyDescent="0.35">
      <c r="A31" s="37" t="s">
        <v>60</v>
      </c>
      <c r="B31" s="454" t="s">
        <v>104</v>
      </c>
      <c r="C31" s="454"/>
      <c r="D31" s="454"/>
      <c r="E31" s="454"/>
      <c r="F31" s="454"/>
      <c r="G31" s="454"/>
      <c r="H31" s="454"/>
      <c r="I31" s="454"/>
      <c r="J31" s="73">
        <v>3.0300000000000001E-2</v>
      </c>
      <c r="K31" s="96">
        <f>TRUNC(K26*$J$31,2)</f>
        <v>69.180000000000007</v>
      </c>
      <c r="L31" s="99"/>
      <c r="M31" s="99"/>
      <c r="N31" s="99"/>
      <c r="O31" s="99"/>
      <c r="P31" s="99"/>
      <c r="Q31" s="99"/>
      <c r="R31" s="99"/>
      <c r="S31" s="99"/>
      <c r="T31" s="99"/>
    </row>
    <row r="32" spans="1:20" x14ac:dyDescent="0.35">
      <c r="A32" s="69"/>
      <c r="B32" s="477"/>
      <c r="C32" s="477"/>
      <c r="D32" s="477"/>
      <c r="E32" s="477"/>
      <c r="F32" s="477"/>
      <c r="G32" s="477"/>
      <c r="H32" s="477"/>
      <c r="I32" s="477"/>
      <c r="J32" s="74">
        <f>J30+J31</f>
        <v>0.11360000000000001</v>
      </c>
      <c r="K32" s="102">
        <f>TRUNC(K26*$J$32,2)</f>
        <v>259.38</v>
      </c>
      <c r="L32" s="101"/>
      <c r="M32" s="101"/>
      <c r="N32" s="101"/>
      <c r="O32" s="101"/>
      <c r="P32" s="101"/>
      <c r="Q32" s="101"/>
      <c r="R32" s="101"/>
      <c r="S32" s="101"/>
      <c r="T32" s="101"/>
    </row>
    <row r="33" spans="1:20" x14ac:dyDescent="0.35">
      <c r="A33" s="478"/>
      <c r="B33" s="478"/>
      <c r="C33" s="478"/>
      <c r="D33" s="478"/>
      <c r="E33" s="478"/>
      <c r="F33" s="478"/>
      <c r="G33" s="478"/>
      <c r="H33" s="478"/>
      <c r="I33" s="478"/>
      <c r="J33" s="478"/>
      <c r="K33" s="478"/>
      <c r="M33" s="106"/>
      <c r="N33" s="106"/>
      <c r="O33" s="106"/>
      <c r="P33" s="130"/>
      <c r="Q33" s="106"/>
      <c r="R33" s="106"/>
      <c r="S33" s="106"/>
      <c r="T33" s="106"/>
    </row>
    <row r="34" spans="1:20" ht="27.5" customHeight="1" x14ac:dyDescent="0.35">
      <c r="A34" s="479" t="s">
        <v>105</v>
      </c>
      <c r="B34" s="479"/>
      <c r="C34" s="479"/>
      <c r="D34" s="479"/>
      <c r="E34" s="479"/>
      <c r="F34" s="479"/>
      <c r="G34" s="479"/>
      <c r="H34" s="479"/>
      <c r="I34" s="479"/>
      <c r="J34" s="479"/>
      <c r="K34" s="103"/>
      <c r="L34" s="107"/>
      <c r="M34" s="107"/>
      <c r="N34" s="107"/>
      <c r="O34" s="107"/>
      <c r="P34" s="107"/>
      <c r="Q34" s="107"/>
      <c r="R34" s="107"/>
      <c r="S34" s="107"/>
      <c r="T34" s="107"/>
    </row>
    <row r="35" spans="1:20" x14ac:dyDescent="0.35">
      <c r="A35" s="480" t="s">
        <v>106</v>
      </c>
      <c r="B35" s="480"/>
      <c r="C35" s="480"/>
      <c r="D35" s="480"/>
      <c r="E35" s="480"/>
      <c r="F35" s="480"/>
      <c r="G35" s="480"/>
      <c r="H35" s="480"/>
      <c r="I35" s="480"/>
      <c r="J35" s="480"/>
      <c r="K35" s="104">
        <f>K26+K32</f>
        <v>2542.7400000000002</v>
      </c>
      <c r="L35" s="108"/>
      <c r="M35" s="108"/>
      <c r="N35" s="108"/>
      <c r="O35" s="108"/>
      <c r="P35" s="108"/>
      <c r="Q35" s="108"/>
      <c r="R35" s="108"/>
      <c r="S35" s="108"/>
      <c r="T35" s="108"/>
    </row>
    <row r="36" spans="1:20" x14ac:dyDescent="0.35">
      <c r="A36" s="475" t="s">
        <v>107</v>
      </c>
      <c r="B36" s="475"/>
      <c r="C36" s="475"/>
      <c r="D36" s="475"/>
      <c r="E36" s="475"/>
      <c r="F36" s="475"/>
      <c r="G36" s="475"/>
      <c r="H36" s="475"/>
      <c r="I36" s="475"/>
      <c r="J36" s="75">
        <f>SUM(J37:J44)</f>
        <v>0.3680000000000001</v>
      </c>
      <c r="K36" s="105">
        <f>SUM(K37:K44)</f>
        <v>935.68</v>
      </c>
      <c r="L36" s="99"/>
      <c r="M36" s="99"/>
      <c r="N36" s="99"/>
      <c r="O36" s="99"/>
      <c r="P36" s="99"/>
      <c r="Q36" s="99"/>
      <c r="R36" s="99"/>
      <c r="S36" s="99"/>
      <c r="T36" s="99"/>
    </row>
    <row r="37" spans="1:20" x14ac:dyDescent="0.35">
      <c r="A37" s="37" t="s">
        <v>57</v>
      </c>
      <c r="B37" s="452" t="s">
        <v>108</v>
      </c>
      <c r="C37" s="452"/>
      <c r="D37" s="452"/>
      <c r="E37" s="452"/>
      <c r="F37" s="452"/>
      <c r="G37" s="452"/>
      <c r="H37" s="452"/>
      <c r="I37" s="452"/>
      <c r="J37" s="76">
        <v>0.2</v>
      </c>
      <c r="K37" s="105">
        <f t="shared" ref="K37:K44" si="0">TRUNC(K$35*$J37,2)</f>
        <v>508.54</v>
      </c>
      <c r="L37" s="99"/>
      <c r="M37" s="99"/>
      <c r="N37" s="99"/>
      <c r="O37" s="99"/>
      <c r="P37" s="99"/>
      <c r="Q37" s="99"/>
      <c r="R37" s="99"/>
      <c r="S37" s="99"/>
      <c r="T37" s="99"/>
    </row>
    <row r="38" spans="1:20" x14ac:dyDescent="0.35">
      <c r="A38" s="37" t="s">
        <v>60</v>
      </c>
      <c r="B38" s="452" t="s">
        <v>109</v>
      </c>
      <c r="C38" s="452"/>
      <c r="D38" s="452"/>
      <c r="E38" s="452"/>
      <c r="F38" s="452"/>
      <c r="G38" s="452"/>
      <c r="H38" s="452"/>
      <c r="I38" s="452"/>
      <c r="J38" s="76">
        <v>1.4999999999999999E-2</v>
      </c>
      <c r="K38" s="105">
        <f t="shared" si="0"/>
        <v>38.14</v>
      </c>
      <c r="L38" s="99"/>
      <c r="M38" s="99"/>
      <c r="N38" s="99"/>
      <c r="O38" s="99"/>
      <c r="P38" s="99"/>
      <c r="Q38" s="99"/>
      <c r="R38" s="99"/>
      <c r="S38" s="99"/>
      <c r="T38" s="99"/>
    </row>
    <row r="39" spans="1:20" x14ac:dyDescent="0.35">
      <c r="A39" s="37" t="s">
        <v>64</v>
      </c>
      <c r="B39" s="452" t="s">
        <v>110</v>
      </c>
      <c r="C39" s="452"/>
      <c r="D39" s="452"/>
      <c r="E39" s="452"/>
      <c r="F39" s="452"/>
      <c r="G39" s="452"/>
      <c r="H39" s="452"/>
      <c r="I39" s="452"/>
      <c r="J39" s="76">
        <v>0.01</v>
      </c>
      <c r="K39" s="105">
        <f t="shared" si="0"/>
        <v>25.42</v>
      </c>
      <c r="L39" s="99"/>
      <c r="M39" s="99"/>
      <c r="N39" s="99"/>
      <c r="O39" s="99"/>
      <c r="P39" s="99"/>
      <c r="Q39" s="99"/>
      <c r="R39" s="99"/>
      <c r="S39" s="99"/>
      <c r="T39" s="99"/>
    </row>
    <row r="40" spans="1:20" x14ac:dyDescent="0.35">
      <c r="A40" s="37" t="s">
        <v>66</v>
      </c>
      <c r="B40" s="452" t="s">
        <v>111</v>
      </c>
      <c r="C40" s="452"/>
      <c r="D40" s="452"/>
      <c r="E40" s="452"/>
      <c r="F40" s="452"/>
      <c r="G40" s="452"/>
      <c r="H40" s="452"/>
      <c r="I40" s="452"/>
      <c r="J40" s="76">
        <v>2E-3</v>
      </c>
      <c r="K40" s="105">
        <f t="shared" si="0"/>
        <v>5.08</v>
      </c>
      <c r="L40" s="99"/>
      <c r="M40" s="99"/>
      <c r="N40" s="99"/>
      <c r="O40" s="99"/>
      <c r="P40" s="99"/>
      <c r="Q40" s="99"/>
      <c r="R40" s="99"/>
      <c r="S40" s="99"/>
      <c r="T40" s="99"/>
    </row>
    <row r="41" spans="1:20" x14ac:dyDescent="0.35">
      <c r="A41" s="37" t="s">
        <v>68</v>
      </c>
      <c r="B41" s="452" t="s">
        <v>112</v>
      </c>
      <c r="C41" s="452"/>
      <c r="D41" s="452"/>
      <c r="E41" s="452"/>
      <c r="F41" s="452"/>
      <c r="G41" s="452"/>
      <c r="H41" s="452"/>
      <c r="I41" s="452"/>
      <c r="J41" s="76">
        <v>2.5000000000000001E-2</v>
      </c>
      <c r="K41" s="105">
        <f t="shared" si="0"/>
        <v>63.56</v>
      </c>
      <c r="L41" s="99"/>
      <c r="M41" s="99"/>
      <c r="N41" s="99"/>
      <c r="O41" s="99"/>
      <c r="P41" s="99"/>
      <c r="Q41" s="99"/>
      <c r="R41" s="99"/>
      <c r="S41" s="99"/>
      <c r="T41" s="99"/>
    </row>
    <row r="42" spans="1:20" x14ac:dyDescent="0.35">
      <c r="A42" s="37" t="s">
        <v>70</v>
      </c>
      <c r="B42" s="452" t="s">
        <v>113</v>
      </c>
      <c r="C42" s="452"/>
      <c r="D42" s="452"/>
      <c r="E42" s="452"/>
      <c r="F42" s="452"/>
      <c r="G42" s="452"/>
      <c r="H42" s="452"/>
      <c r="I42" s="452"/>
      <c r="J42" s="76">
        <v>0.08</v>
      </c>
      <c r="K42" s="105">
        <f t="shared" si="0"/>
        <v>203.41</v>
      </c>
      <c r="L42" s="99"/>
      <c r="M42" s="99"/>
      <c r="N42" s="99"/>
      <c r="O42" s="99"/>
      <c r="P42" s="99"/>
      <c r="Q42" s="99"/>
      <c r="R42" s="99"/>
      <c r="S42" s="99"/>
      <c r="T42" s="99"/>
    </row>
    <row r="43" spans="1:20" x14ac:dyDescent="0.35">
      <c r="A43" s="37" t="s">
        <v>72</v>
      </c>
      <c r="B43" s="452" t="s">
        <v>114</v>
      </c>
      <c r="C43" s="452"/>
      <c r="D43" s="452"/>
      <c r="E43" s="452"/>
      <c r="F43" s="77">
        <f>'Dados do Licitante'!E22</f>
        <v>0.03</v>
      </c>
      <c r="G43" s="70" t="s">
        <v>11</v>
      </c>
      <c r="H43" s="481">
        <f>'Dados do Licitante'!G22</f>
        <v>1</v>
      </c>
      <c r="I43" s="482"/>
      <c r="J43" s="76">
        <f>ROUND(F43*H43,2)</f>
        <v>0.03</v>
      </c>
      <c r="K43" s="105">
        <f t="shared" si="0"/>
        <v>76.28</v>
      </c>
      <c r="L43" s="99"/>
      <c r="M43" s="99"/>
      <c r="N43" s="99"/>
      <c r="O43" s="99"/>
      <c r="P43" s="99"/>
      <c r="Q43" s="99"/>
      <c r="R43" s="99"/>
      <c r="S43" s="99"/>
      <c r="T43" s="99"/>
    </row>
    <row r="44" spans="1:20" x14ac:dyDescent="0.35">
      <c r="A44" s="91" t="s">
        <v>115</v>
      </c>
      <c r="B44" s="126" t="s">
        <v>116</v>
      </c>
      <c r="C44" s="483"/>
      <c r="D44" s="483"/>
      <c r="E44" s="483"/>
      <c r="F44" s="483"/>
      <c r="G44" s="483"/>
      <c r="H44" s="483"/>
      <c r="I44" s="483"/>
      <c r="J44" s="127">
        <v>6.0000000000000001E-3</v>
      </c>
      <c r="K44" s="128">
        <f t="shared" si="0"/>
        <v>15.25</v>
      </c>
      <c r="L44" s="99"/>
      <c r="M44" s="99"/>
      <c r="N44" s="99"/>
      <c r="O44" s="99"/>
      <c r="P44" s="99"/>
      <c r="Q44" s="99"/>
      <c r="R44" s="99"/>
      <c r="S44" s="99"/>
      <c r="T44" s="99"/>
    </row>
    <row r="45" spans="1:20" x14ac:dyDescent="0.35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</row>
    <row r="46" spans="1:20" x14ac:dyDescent="0.35">
      <c r="A46" s="484" t="s">
        <v>117</v>
      </c>
      <c r="B46" s="484"/>
      <c r="C46" s="484"/>
      <c r="D46" s="484"/>
      <c r="E46" s="484"/>
      <c r="F46" s="484"/>
      <c r="G46" s="484"/>
      <c r="H46" s="484"/>
      <c r="I46" s="484"/>
      <c r="J46" s="484"/>
      <c r="K46" s="129"/>
      <c r="L46" s="107"/>
      <c r="M46" s="107"/>
      <c r="N46" s="107"/>
      <c r="O46" s="107"/>
      <c r="P46" s="107"/>
      <c r="Q46" s="107"/>
      <c r="R46" s="107"/>
      <c r="S46" s="107"/>
      <c r="T46" s="107"/>
    </row>
    <row r="47" spans="1:20" x14ac:dyDescent="0.35">
      <c r="A47" s="37" t="s">
        <v>57</v>
      </c>
      <c r="B47" s="454" t="s">
        <v>24</v>
      </c>
      <c r="C47" s="454"/>
      <c r="D47" s="454"/>
      <c r="E47" s="454"/>
      <c r="F47" s="454"/>
      <c r="G47" s="454"/>
      <c r="H47" s="454"/>
      <c r="I47" s="454"/>
      <c r="J47" s="454"/>
      <c r="K47" s="96">
        <f>'Dados do Licitante'!I36</f>
        <v>188.02096</v>
      </c>
      <c r="L47" s="99"/>
      <c r="M47" s="109"/>
      <c r="N47" s="109"/>
      <c r="O47" s="109"/>
      <c r="P47" s="109"/>
      <c r="Q47" s="109"/>
      <c r="R47" s="109"/>
      <c r="S47" s="109"/>
      <c r="T47" s="109"/>
    </row>
    <row r="48" spans="1:20" x14ac:dyDescent="0.35">
      <c r="A48" s="37" t="s">
        <v>60</v>
      </c>
      <c r="B48" s="454" t="s">
        <v>33</v>
      </c>
      <c r="C48" s="454"/>
      <c r="D48" s="454"/>
      <c r="E48" s="454"/>
      <c r="F48" s="454"/>
      <c r="G48" s="454"/>
      <c r="H48" s="454"/>
      <c r="I48" s="454"/>
      <c r="J48" s="454"/>
      <c r="K48" s="96">
        <f>'Dados do Licitante'!G46</f>
        <v>568.83013199999994</v>
      </c>
      <c r="L48" s="99"/>
      <c r="M48" s="99"/>
      <c r="N48" s="99"/>
      <c r="O48" s="99"/>
      <c r="P48" s="99"/>
      <c r="Q48" s="99"/>
      <c r="R48" s="99"/>
      <c r="S48" s="99"/>
      <c r="T48" s="99"/>
    </row>
    <row r="49" spans="1:20" x14ac:dyDescent="0.35">
      <c r="A49" s="37" t="s">
        <v>64</v>
      </c>
      <c r="B49" s="454" t="s">
        <v>218</v>
      </c>
      <c r="C49" s="454"/>
      <c r="D49" s="454"/>
      <c r="E49" s="454"/>
      <c r="F49" s="454"/>
      <c r="G49" s="454"/>
      <c r="H49" s="454"/>
      <c r="I49" s="454"/>
      <c r="J49" s="454"/>
      <c r="K49" s="96">
        <f>'Dados do Licitante'!G50</f>
        <v>22.833600000000001</v>
      </c>
      <c r="L49" s="99"/>
      <c r="M49" s="99"/>
      <c r="N49" s="99"/>
      <c r="O49" s="99"/>
      <c r="P49" s="99"/>
      <c r="Q49" s="99"/>
      <c r="R49" s="99"/>
      <c r="S49" s="99"/>
      <c r="T49" s="99"/>
    </row>
    <row r="50" spans="1:20" x14ac:dyDescent="0.35">
      <c r="A50" s="37" t="s">
        <v>66</v>
      </c>
      <c r="B50" s="454" t="s">
        <v>41</v>
      </c>
      <c r="C50" s="454"/>
      <c r="D50" s="454"/>
      <c r="E50" s="454"/>
      <c r="F50" s="454"/>
      <c r="G50" s="454"/>
      <c r="H50" s="454"/>
      <c r="I50" s="454"/>
      <c r="J50" s="454"/>
      <c r="K50" s="96">
        <f>'Dados do Licitante'!E52</f>
        <v>0</v>
      </c>
      <c r="L50" s="99"/>
      <c r="M50" s="99"/>
      <c r="N50" s="99"/>
      <c r="O50" s="99"/>
      <c r="P50" s="99"/>
      <c r="Q50" s="99"/>
      <c r="R50" s="99"/>
      <c r="S50" s="99"/>
      <c r="T50" s="99"/>
    </row>
    <row r="51" spans="1:20" x14ac:dyDescent="0.35">
      <c r="A51" s="37" t="s">
        <v>68</v>
      </c>
      <c r="B51" s="454" t="s">
        <v>219</v>
      </c>
      <c r="C51" s="454"/>
      <c r="D51" s="454"/>
      <c r="E51" s="454"/>
      <c r="F51" s="454"/>
      <c r="G51" s="454"/>
      <c r="H51" s="454"/>
      <c r="I51" s="454"/>
      <c r="J51" s="454"/>
      <c r="K51" s="96">
        <f>'Dados do Licitante'!F56</f>
        <v>0</v>
      </c>
      <c r="L51" s="99"/>
      <c r="M51" s="99"/>
      <c r="N51" s="99"/>
      <c r="O51" s="99"/>
      <c r="P51" s="99"/>
      <c r="Q51" s="99"/>
      <c r="R51" s="99"/>
      <c r="S51" s="99"/>
      <c r="T51" s="99"/>
    </row>
    <row r="52" spans="1:20" x14ac:dyDescent="0.35">
      <c r="A52" s="37" t="s">
        <v>70</v>
      </c>
      <c r="B52" s="454" t="s">
        <v>220</v>
      </c>
      <c r="C52" s="454"/>
      <c r="D52" s="454"/>
      <c r="E52" s="454"/>
      <c r="F52" s="454"/>
      <c r="G52" s="454"/>
      <c r="H52" s="454"/>
      <c r="I52" s="454"/>
      <c r="J52" s="454"/>
      <c r="K52" s="96">
        <f>'Dados do Licitante'!G60</f>
        <v>10.33</v>
      </c>
      <c r="L52" s="99"/>
      <c r="M52" s="99"/>
      <c r="N52" s="99"/>
      <c r="O52" s="99"/>
      <c r="P52" s="99"/>
      <c r="Q52" s="99"/>
      <c r="R52" s="99"/>
      <c r="S52" s="99"/>
      <c r="T52" s="99"/>
    </row>
    <row r="53" spans="1:20" x14ac:dyDescent="0.35">
      <c r="A53" s="37" t="s">
        <v>72</v>
      </c>
      <c r="B53" s="454" t="s">
        <v>221</v>
      </c>
      <c r="C53" s="454"/>
      <c r="D53" s="454"/>
      <c r="E53" s="454"/>
      <c r="F53" s="454"/>
      <c r="G53" s="454"/>
      <c r="H53" s="454"/>
      <c r="I53" s="454"/>
      <c r="J53" s="454"/>
      <c r="K53" s="96">
        <f>'Dados do Licitante'!E62</f>
        <v>0</v>
      </c>
      <c r="L53" s="99"/>
      <c r="M53" s="99"/>
      <c r="N53" s="99"/>
      <c r="O53" s="99"/>
      <c r="P53" s="99"/>
      <c r="Q53" s="99"/>
      <c r="R53" s="99"/>
      <c r="S53" s="99"/>
      <c r="T53" s="99"/>
    </row>
    <row r="54" spans="1:20" x14ac:dyDescent="0.35">
      <c r="A54" s="37" t="s">
        <v>115</v>
      </c>
      <c r="B54" s="454" t="s">
        <v>222</v>
      </c>
      <c r="C54" s="454"/>
      <c r="D54" s="454"/>
      <c r="E54" s="454"/>
      <c r="F54" s="454"/>
      <c r="G54" s="454"/>
      <c r="H54" s="454"/>
      <c r="I54" s="454"/>
      <c r="J54" s="454"/>
      <c r="K54" s="96">
        <f>'Dados do Licitante'!E64</f>
        <v>0</v>
      </c>
      <c r="L54" s="99"/>
      <c r="M54" s="99"/>
      <c r="N54" s="99"/>
      <c r="O54" s="99"/>
      <c r="P54" s="99"/>
      <c r="Q54" s="99"/>
      <c r="R54" s="99"/>
      <c r="S54" s="99"/>
      <c r="T54" s="99"/>
    </row>
    <row r="55" spans="1:20" x14ac:dyDescent="0.35">
      <c r="A55" s="37" t="s">
        <v>118</v>
      </c>
      <c r="B55" s="454" t="s">
        <v>223</v>
      </c>
      <c r="C55" s="454"/>
      <c r="D55" s="454"/>
      <c r="E55" s="454"/>
      <c r="F55" s="454"/>
      <c r="G55" s="454"/>
      <c r="H55" s="454"/>
      <c r="I55" s="454"/>
      <c r="J55" s="454"/>
      <c r="K55" s="96">
        <f>'Dados do Licitante'!E66</f>
        <v>0</v>
      </c>
      <c r="L55" s="99"/>
      <c r="M55" s="99"/>
      <c r="N55" s="99"/>
      <c r="O55" s="99"/>
      <c r="P55" s="99"/>
      <c r="Q55" s="99"/>
      <c r="R55" s="99"/>
      <c r="S55" s="99"/>
      <c r="T55" s="99"/>
    </row>
    <row r="56" spans="1:20" x14ac:dyDescent="0.35">
      <c r="A56" s="37"/>
      <c r="B56" s="450" t="s">
        <v>119</v>
      </c>
      <c r="C56" s="450"/>
      <c r="D56" s="450"/>
      <c r="E56" s="450"/>
      <c r="F56" s="450"/>
      <c r="G56" s="450"/>
      <c r="H56" s="450"/>
      <c r="I56" s="450"/>
      <c r="J56" s="450"/>
      <c r="K56" s="102">
        <f>SUM(K47:K55)</f>
        <v>790.01469199999997</v>
      </c>
      <c r="L56" s="101"/>
      <c r="M56" s="101"/>
      <c r="N56" s="101"/>
      <c r="O56" s="101"/>
      <c r="P56" s="101"/>
      <c r="Q56" s="101"/>
      <c r="R56" s="101"/>
      <c r="S56" s="101"/>
      <c r="T56" s="101"/>
    </row>
    <row r="57" spans="1:20" x14ac:dyDescent="0.35">
      <c r="A57" s="478"/>
      <c r="B57" s="478"/>
      <c r="C57" s="478"/>
      <c r="D57" s="478"/>
      <c r="E57" s="478"/>
      <c r="F57" s="478"/>
      <c r="G57" s="478"/>
      <c r="H57" s="478"/>
      <c r="I57" s="478"/>
      <c r="J57" s="478"/>
      <c r="K57" s="478"/>
      <c r="M57" s="106"/>
      <c r="N57" s="106"/>
      <c r="O57" s="106"/>
      <c r="P57" s="106"/>
      <c r="Q57" s="106"/>
      <c r="R57" s="106"/>
      <c r="S57" s="106"/>
      <c r="T57" s="106"/>
    </row>
    <row r="58" spans="1:20" x14ac:dyDescent="0.35">
      <c r="A58" s="465" t="s">
        <v>120</v>
      </c>
      <c r="B58" s="465"/>
      <c r="C58" s="465"/>
      <c r="D58" s="465"/>
      <c r="E58" s="465"/>
      <c r="F58" s="465"/>
      <c r="G58" s="465"/>
      <c r="H58" s="465"/>
      <c r="I58" s="465"/>
      <c r="J58" s="465"/>
      <c r="K58" s="103"/>
      <c r="L58" s="107"/>
      <c r="M58" s="107"/>
      <c r="N58" s="107"/>
      <c r="O58" s="107"/>
      <c r="P58" s="107"/>
      <c r="Q58" s="107"/>
      <c r="R58" s="107"/>
      <c r="S58" s="107"/>
      <c r="T58" s="107"/>
    </row>
    <row r="59" spans="1:20" x14ac:dyDescent="0.35">
      <c r="A59" s="37" t="s">
        <v>121</v>
      </c>
      <c r="B59" s="454" t="s">
        <v>122</v>
      </c>
      <c r="C59" s="454"/>
      <c r="D59" s="454"/>
      <c r="E59" s="454"/>
      <c r="F59" s="454"/>
      <c r="G59" s="454"/>
      <c r="H59" s="454"/>
      <c r="I59" s="454"/>
      <c r="J59" s="73">
        <f>J32</f>
        <v>0.11360000000000001</v>
      </c>
      <c r="K59" s="96">
        <f>K32</f>
        <v>259.38</v>
      </c>
      <c r="L59" s="99"/>
      <c r="M59" s="99"/>
      <c r="N59" s="99"/>
      <c r="O59" s="99"/>
      <c r="P59" s="99"/>
      <c r="Q59" s="99"/>
      <c r="R59" s="99"/>
      <c r="S59" s="99"/>
      <c r="T59" s="99"/>
    </row>
    <row r="60" spans="1:20" x14ac:dyDescent="0.35">
      <c r="A60" s="37" t="s">
        <v>123</v>
      </c>
      <c r="B60" s="454" t="s">
        <v>124</v>
      </c>
      <c r="C60" s="454"/>
      <c r="D60" s="454"/>
      <c r="E60" s="454"/>
      <c r="F60" s="454"/>
      <c r="G60" s="454"/>
      <c r="H60" s="454"/>
      <c r="I60" s="454"/>
      <c r="J60" s="73">
        <f>J36</f>
        <v>0.3680000000000001</v>
      </c>
      <c r="K60" s="96">
        <f>K36</f>
        <v>935.68</v>
      </c>
      <c r="L60" s="99"/>
      <c r="M60" s="99"/>
      <c r="N60" s="99"/>
      <c r="O60" s="99"/>
      <c r="P60" s="99"/>
      <c r="Q60" s="99"/>
      <c r="R60" s="99"/>
      <c r="S60" s="99"/>
      <c r="T60" s="99"/>
    </row>
    <row r="61" spans="1:20" x14ac:dyDescent="0.35">
      <c r="A61" s="37" t="s">
        <v>125</v>
      </c>
      <c r="B61" s="454" t="s">
        <v>126</v>
      </c>
      <c r="C61" s="454"/>
      <c r="D61" s="454"/>
      <c r="E61" s="454"/>
      <c r="F61" s="454"/>
      <c r="G61" s="454"/>
      <c r="H61" s="454"/>
      <c r="I61" s="454"/>
      <c r="J61" s="454"/>
      <c r="K61" s="96">
        <f>K56</f>
        <v>790.01469199999997</v>
      </c>
      <c r="L61" s="99"/>
      <c r="M61" s="99"/>
      <c r="N61" s="99"/>
      <c r="O61" s="99"/>
      <c r="P61" s="99"/>
      <c r="Q61" s="99"/>
      <c r="R61" s="99"/>
      <c r="S61" s="99"/>
      <c r="T61" s="99"/>
    </row>
    <row r="62" spans="1:20" x14ac:dyDescent="0.35">
      <c r="A62" s="72"/>
      <c r="B62" s="464" t="s">
        <v>119</v>
      </c>
      <c r="C62" s="464"/>
      <c r="D62" s="464"/>
      <c r="E62" s="464"/>
      <c r="F62" s="464"/>
      <c r="G62" s="464"/>
      <c r="H62" s="464"/>
      <c r="I62" s="464"/>
      <c r="J62" s="464"/>
      <c r="K62" s="97">
        <f>K59+K60+K61</f>
        <v>1985.0746919999999</v>
      </c>
      <c r="L62" s="101"/>
      <c r="M62" s="101"/>
      <c r="N62" s="101"/>
      <c r="O62" s="101"/>
      <c r="P62" s="101"/>
      <c r="Q62" s="101"/>
      <c r="R62" s="101"/>
      <c r="S62" s="101"/>
      <c r="T62" s="101"/>
    </row>
    <row r="63" spans="1:20" x14ac:dyDescent="0.35">
      <c r="A63" s="478"/>
      <c r="B63" s="478"/>
      <c r="C63" s="478"/>
      <c r="D63" s="478"/>
      <c r="E63" s="478"/>
      <c r="F63" s="478"/>
      <c r="G63" s="478"/>
      <c r="H63" s="478"/>
      <c r="I63" s="478"/>
      <c r="J63" s="478"/>
      <c r="K63" s="478"/>
      <c r="L63" s="29"/>
      <c r="M63" s="78"/>
      <c r="N63" s="78"/>
      <c r="O63" s="78"/>
      <c r="P63" s="78"/>
      <c r="Q63" s="78"/>
      <c r="R63" s="78"/>
      <c r="S63" s="78"/>
      <c r="T63" s="78"/>
    </row>
    <row r="64" spans="1:20" x14ac:dyDescent="0.35">
      <c r="A64" s="479" t="s">
        <v>127</v>
      </c>
      <c r="B64" s="479"/>
      <c r="C64" s="479"/>
      <c r="D64" s="479"/>
      <c r="E64" s="479"/>
      <c r="F64" s="479"/>
      <c r="G64" s="479"/>
      <c r="H64" s="479"/>
      <c r="I64" s="479"/>
      <c r="J64" s="479"/>
      <c r="K64" s="103"/>
      <c r="L64" s="107"/>
      <c r="M64" s="107"/>
      <c r="N64" s="107"/>
      <c r="O64" s="107"/>
      <c r="P64" s="107"/>
      <c r="Q64" s="107"/>
      <c r="R64" s="107"/>
      <c r="S64" s="107"/>
      <c r="T64" s="107"/>
    </row>
    <row r="65" spans="1:20" x14ac:dyDescent="0.35">
      <c r="A65" s="486" t="s">
        <v>128</v>
      </c>
      <c r="B65" s="486"/>
      <c r="C65" s="486"/>
      <c r="D65" s="486"/>
      <c r="E65" s="486"/>
      <c r="F65" s="486"/>
      <c r="G65" s="486"/>
      <c r="H65" s="486"/>
      <c r="I65" s="486"/>
      <c r="J65" s="486"/>
      <c r="K65" s="110">
        <f>K35</f>
        <v>2542.7400000000002</v>
      </c>
      <c r="L65" s="111"/>
      <c r="M65" s="111"/>
      <c r="N65" s="111"/>
      <c r="O65" s="111"/>
      <c r="P65" s="111"/>
      <c r="Q65" s="111"/>
      <c r="R65" s="111"/>
      <c r="S65" s="111"/>
      <c r="T65" s="111"/>
    </row>
    <row r="66" spans="1:20" x14ac:dyDescent="0.35">
      <c r="A66" s="37" t="s">
        <v>57</v>
      </c>
      <c r="B66" s="490" t="s">
        <v>129</v>
      </c>
      <c r="C66" s="490"/>
      <c r="D66" s="79">
        <v>30</v>
      </c>
      <c r="E66" s="80" t="s">
        <v>130</v>
      </c>
      <c r="F66" s="491" t="s">
        <v>131</v>
      </c>
      <c r="G66" s="492"/>
      <c r="H66" s="493">
        <f>'Dados do Licitante'!G69</f>
        <v>5.5500000000000001E-2</v>
      </c>
      <c r="I66" s="494"/>
      <c r="J66" s="81">
        <f>D66/360*H66</f>
        <v>4.6249999999999998E-3</v>
      </c>
      <c r="K66" s="96">
        <f>TRUNC(K$65*$J66,2)</f>
        <v>11.76</v>
      </c>
      <c r="L66" s="99"/>
      <c r="M66" s="99"/>
      <c r="N66" s="99"/>
      <c r="O66" s="99"/>
      <c r="P66" s="99"/>
      <c r="Q66" s="99"/>
      <c r="R66" s="99"/>
      <c r="S66" s="99"/>
      <c r="T66" s="99"/>
    </row>
    <row r="67" spans="1:20" x14ac:dyDescent="0.35">
      <c r="A67" s="37" t="s">
        <v>60</v>
      </c>
      <c r="B67" s="495" t="s">
        <v>132</v>
      </c>
      <c r="C67" s="495"/>
      <c r="D67" s="495"/>
      <c r="E67" s="495"/>
      <c r="F67" s="495"/>
      <c r="G67" s="495"/>
      <c r="H67" s="495"/>
      <c r="I67" s="495"/>
      <c r="J67" s="81">
        <f>J42*J66</f>
        <v>3.6999999999999999E-4</v>
      </c>
      <c r="K67" s="96">
        <f>TRUNC(K$65*$J67,2)</f>
        <v>0.94</v>
      </c>
      <c r="L67" s="99"/>
      <c r="M67" s="99"/>
      <c r="N67" s="99"/>
      <c r="O67" s="99"/>
      <c r="P67" s="99"/>
      <c r="Q67" s="99"/>
      <c r="R67" s="99"/>
      <c r="S67" s="99"/>
      <c r="T67" s="99"/>
    </row>
    <row r="68" spans="1:20" x14ac:dyDescent="0.35">
      <c r="A68" s="37" t="s">
        <v>64</v>
      </c>
      <c r="B68" s="454" t="s">
        <v>133</v>
      </c>
      <c r="C68" s="454"/>
      <c r="D68" s="454"/>
      <c r="E68" s="454"/>
      <c r="F68" s="496" t="s">
        <v>131</v>
      </c>
      <c r="G68" s="496"/>
      <c r="H68" s="497">
        <f>'Dados do Licitante'!G70</f>
        <v>0.94450000000000001</v>
      </c>
      <c r="I68" s="498"/>
      <c r="J68" s="82">
        <f>7/30/K9*H68</f>
        <v>1.1019166666666667E-2</v>
      </c>
      <c r="K68" s="96">
        <f>TRUNC(K$65*$J68,2)</f>
        <v>28.01</v>
      </c>
      <c r="L68" s="99"/>
      <c r="M68" s="99"/>
      <c r="N68" s="99"/>
      <c r="O68" s="99"/>
      <c r="P68" s="99"/>
      <c r="Q68" s="99"/>
      <c r="R68" s="99"/>
      <c r="S68" s="99"/>
      <c r="T68" s="99"/>
    </row>
    <row r="69" spans="1:20" x14ac:dyDescent="0.35">
      <c r="A69" s="37" t="s">
        <v>66</v>
      </c>
      <c r="B69" s="485" t="s">
        <v>134</v>
      </c>
      <c r="C69" s="485"/>
      <c r="D69" s="485"/>
      <c r="E69" s="485"/>
      <c r="F69" s="485"/>
      <c r="G69" s="485"/>
      <c r="H69" s="485"/>
      <c r="I69" s="485"/>
      <c r="J69" s="81">
        <f>J68*J36</f>
        <v>4.0550533333333343E-3</v>
      </c>
      <c r="K69" s="96">
        <f>TRUNC(K$65*$J69,2)</f>
        <v>10.31</v>
      </c>
      <c r="L69" s="99"/>
      <c r="M69" s="99"/>
      <c r="N69" s="99"/>
      <c r="O69" s="99"/>
      <c r="P69" s="99"/>
      <c r="Q69" s="99"/>
      <c r="R69" s="99"/>
      <c r="S69" s="99"/>
      <c r="T69" s="99"/>
    </row>
    <row r="70" spans="1:20" x14ac:dyDescent="0.35">
      <c r="A70" s="486" t="s">
        <v>135</v>
      </c>
      <c r="B70" s="487"/>
      <c r="C70" s="487"/>
      <c r="D70" s="487"/>
      <c r="E70" s="487"/>
      <c r="F70" s="487"/>
      <c r="G70" s="487"/>
      <c r="H70" s="487"/>
      <c r="I70" s="487"/>
      <c r="J70" s="488"/>
      <c r="K70" s="110">
        <f>K26</f>
        <v>2283.36</v>
      </c>
      <c r="L70" s="111"/>
      <c r="M70" s="111"/>
      <c r="N70" s="111"/>
      <c r="O70" s="111"/>
      <c r="P70" s="111"/>
      <c r="Q70" s="111"/>
      <c r="R70" s="111"/>
      <c r="S70" s="111"/>
      <c r="T70" s="111"/>
    </row>
    <row r="71" spans="1:20" x14ac:dyDescent="0.35">
      <c r="A71" s="37" t="s">
        <v>68</v>
      </c>
      <c r="B71" s="454" t="s">
        <v>136</v>
      </c>
      <c r="C71" s="454"/>
      <c r="D71" s="454"/>
      <c r="E71" s="454"/>
      <c r="F71" s="454"/>
      <c r="G71" s="454"/>
      <c r="H71" s="454"/>
      <c r="I71" s="454"/>
      <c r="J71" s="73">
        <v>0.04</v>
      </c>
      <c r="K71" s="96">
        <f>TRUNC(K70*$J71,2)</f>
        <v>91.33</v>
      </c>
      <c r="L71" s="99"/>
      <c r="M71" s="99"/>
      <c r="N71" s="99"/>
      <c r="O71" s="99"/>
      <c r="P71" s="99"/>
      <c r="Q71" s="99"/>
      <c r="R71" s="99"/>
      <c r="S71" s="99"/>
      <c r="T71" s="99"/>
    </row>
    <row r="72" spans="1:20" x14ac:dyDescent="0.35">
      <c r="A72" s="464" t="s">
        <v>119</v>
      </c>
      <c r="B72" s="464"/>
      <c r="C72" s="464"/>
      <c r="D72" s="464"/>
      <c r="E72" s="464"/>
      <c r="F72" s="464"/>
      <c r="G72" s="464"/>
      <c r="H72" s="464"/>
      <c r="I72" s="464"/>
      <c r="J72" s="83"/>
      <c r="K72" s="97">
        <f>K66+K67+K68+K69+K71</f>
        <v>142.35</v>
      </c>
      <c r="L72" s="101"/>
      <c r="M72" s="101"/>
      <c r="N72" s="101"/>
      <c r="O72" s="101"/>
      <c r="P72" s="101"/>
      <c r="Q72" s="101"/>
      <c r="R72" s="101"/>
      <c r="S72" s="101"/>
      <c r="T72" s="101"/>
    </row>
    <row r="73" spans="1:20" x14ac:dyDescent="0.35">
      <c r="A73" s="478"/>
      <c r="B73" s="478"/>
      <c r="C73" s="478"/>
      <c r="D73" s="478"/>
      <c r="E73" s="478"/>
      <c r="F73" s="478"/>
      <c r="G73" s="478"/>
      <c r="H73" s="478"/>
      <c r="I73" s="478"/>
      <c r="J73" s="478"/>
      <c r="K73" s="478"/>
      <c r="M73" s="106"/>
      <c r="N73" s="106"/>
      <c r="O73" s="106"/>
      <c r="P73" s="106"/>
      <c r="Q73" s="106"/>
      <c r="R73" s="106"/>
      <c r="S73" s="106"/>
      <c r="T73" s="106"/>
    </row>
    <row r="74" spans="1:20" x14ac:dyDescent="0.35">
      <c r="A74" s="465" t="s">
        <v>137</v>
      </c>
      <c r="B74" s="465"/>
      <c r="C74" s="465"/>
      <c r="D74" s="465"/>
      <c r="E74" s="465"/>
      <c r="F74" s="465"/>
      <c r="G74" s="465"/>
      <c r="H74" s="465"/>
      <c r="I74" s="465"/>
      <c r="J74" s="465"/>
      <c r="K74" s="489"/>
      <c r="L74" s="500"/>
      <c r="M74" s="500"/>
      <c r="N74" s="500"/>
      <c r="O74" s="500"/>
      <c r="P74" s="500"/>
      <c r="Q74" s="500"/>
      <c r="R74" s="500"/>
      <c r="S74" s="500"/>
      <c r="T74" s="500"/>
    </row>
    <row r="75" spans="1:20" x14ac:dyDescent="0.35">
      <c r="A75" s="465" t="s">
        <v>138</v>
      </c>
      <c r="B75" s="465"/>
      <c r="C75" s="465"/>
      <c r="D75" s="465"/>
      <c r="E75" s="465"/>
      <c r="F75" s="465"/>
      <c r="G75" s="465"/>
      <c r="H75" s="465"/>
      <c r="I75" s="465"/>
      <c r="J75" s="465"/>
      <c r="K75" s="489"/>
      <c r="L75" s="500"/>
      <c r="M75" s="500"/>
      <c r="N75" s="500"/>
      <c r="O75" s="500"/>
      <c r="P75" s="500"/>
      <c r="Q75" s="500"/>
      <c r="R75" s="500"/>
      <c r="S75" s="500"/>
      <c r="T75" s="500"/>
    </row>
    <row r="76" spans="1:20" x14ac:dyDescent="0.35">
      <c r="A76" s="501" t="s">
        <v>139</v>
      </c>
      <c r="B76" s="487"/>
      <c r="C76" s="487"/>
      <c r="D76" s="487"/>
      <c r="E76" s="487"/>
      <c r="F76" s="487"/>
      <c r="G76" s="487"/>
      <c r="H76" s="487"/>
      <c r="I76" s="487"/>
      <c r="J76" s="488"/>
      <c r="K76" s="110">
        <f>K26+K36</f>
        <v>3219.04</v>
      </c>
      <c r="L76" s="111"/>
      <c r="M76" s="111"/>
      <c r="N76" s="111"/>
      <c r="O76" s="111"/>
      <c r="P76" s="111"/>
      <c r="Q76" s="111"/>
      <c r="R76" s="111"/>
      <c r="S76" s="111"/>
      <c r="T76" s="111"/>
    </row>
    <row r="77" spans="1:20" x14ac:dyDescent="0.35">
      <c r="A77" s="37" t="s">
        <v>57</v>
      </c>
      <c r="B77" s="454" t="s">
        <v>140</v>
      </c>
      <c r="C77" s="454"/>
      <c r="D77" s="454"/>
      <c r="E77" s="454"/>
      <c r="F77" s="454"/>
      <c r="G77" s="454"/>
      <c r="H77" s="454"/>
      <c r="I77" s="454"/>
      <c r="J77" s="73">
        <v>9.0899999999999995E-2</v>
      </c>
      <c r="K77" s="96">
        <f>TRUNC(K76*$J77,2)</f>
        <v>292.61</v>
      </c>
      <c r="L77" s="99"/>
      <c r="M77" s="99"/>
      <c r="N77" s="99"/>
      <c r="O77" s="99"/>
      <c r="P77" s="99"/>
      <c r="Q77" s="99"/>
      <c r="R77" s="99"/>
      <c r="S77" s="99"/>
      <c r="T77" s="99"/>
    </row>
    <row r="78" spans="1:20" x14ac:dyDescent="0.35">
      <c r="A78" s="486" t="s">
        <v>141</v>
      </c>
      <c r="B78" s="486"/>
      <c r="C78" s="486"/>
      <c r="D78" s="486"/>
      <c r="E78" s="486"/>
      <c r="F78" s="486"/>
      <c r="G78" s="486"/>
      <c r="H78" s="486"/>
      <c r="I78" s="486"/>
      <c r="J78" s="486"/>
      <c r="K78" s="110">
        <f>K26+K62-(K47+K48)+K72</f>
        <v>3653.9335999999998</v>
      </c>
      <c r="L78" s="111"/>
      <c r="M78" s="111"/>
      <c r="N78" s="111"/>
      <c r="O78" s="111"/>
      <c r="P78" s="111"/>
      <c r="Q78" s="111"/>
      <c r="R78" s="111"/>
      <c r="S78" s="111"/>
      <c r="T78" s="111"/>
    </row>
    <row r="79" spans="1:20" x14ac:dyDescent="0.35">
      <c r="A79" s="37" t="s">
        <v>60</v>
      </c>
      <c r="B79" s="454" t="s">
        <v>142</v>
      </c>
      <c r="C79" s="454"/>
      <c r="D79" s="454"/>
      <c r="E79" s="454"/>
      <c r="F79" s="454"/>
      <c r="G79" s="454"/>
      <c r="H79" s="454"/>
      <c r="I79" s="454"/>
      <c r="J79" s="81">
        <f>'Dados do Licitante'!H74</f>
        <v>8.21917808219178E-3</v>
      </c>
      <c r="K79" s="96">
        <f t="shared" ref="K79:K84" si="1">TRUNC(K$78*$J79,2)</f>
        <v>30.03</v>
      </c>
      <c r="L79" s="99"/>
      <c r="M79" s="99"/>
      <c r="N79" s="99"/>
      <c r="O79" s="99"/>
      <c r="P79" s="99"/>
      <c r="Q79" s="99"/>
      <c r="R79" s="99"/>
      <c r="S79" s="99"/>
      <c r="T79" s="99"/>
    </row>
    <row r="80" spans="1:20" x14ac:dyDescent="0.35">
      <c r="A80" s="37" t="s">
        <v>64</v>
      </c>
      <c r="B80" s="454" t="s">
        <v>143</v>
      </c>
      <c r="C80" s="454"/>
      <c r="D80" s="454"/>
      <c r="E80" s="454"/>
      <c r="F80" s="454"/>
      <c r="G80" s="454"/>
      <c r="H80" s="454"/>
      <c r="I80" s="454"/>
      <c r="J80" s="81">
        <f>'Dados do Licitante'!H75</f>
        <v>8.21917808219178E-3</v>
      </c>
      <c r="K80" s="96">
        <f t="shared" si="1"/>
        <v>30.03</v>
      </c>
      <c r="L80" s="99"/>
      <c r="M80" s="99"/>
      <c r="N80" s="99"/>
      <c r="O80" s="99"/>
      <c r="P80" s="99"/>
      <c r="Q80" s="99"/>
      <c r="R80" s="99"/>
      <c r="S80" s="99"/>
      <c r="T80" s="99"/>
    </row>
    <row r="81" spans="1:20" x14ac:dyDescent="0.35">
      <c r="A81" s="37" t="s">
        <v>66</v>
      </c>
      <c r="B81" s="454" t="s">
        <v>144</v>
      </c>
      <c r="C81" s="454"/>
      <c r="D81" s="454"/>
      <c r="E81" s="454"/>
      <c r="F81" s="454"/>
      <c r="G81" s="454"/>
      <c r="H81" s="454"/>
      <c r="I81" s="454"/>
      <c r="J81" s="81">
        <f>'Dados do Licitante'!H76</f>
        <v>8.1205479452054787E-4</v>
      </c>
      <c r="K81" s="96">
        <f t="shared" si="1"/>
        <v>2.96</v>
      </c>
      <c r="L81" s="99"/>
      <c r="M81" s="99"/>
      <c r="N81" s="99"/>
      <c r="O81" s="99"/>
      <c r="P81" s="99"/>
      <c r="Q81" s="99"/>
      <c r="R81" s="99"/>
      <c r="S81" s="99"/>
      <c r="T81" s="99"/>
    </row>
    <row r="82" spans="1:20" x14ac:dyDescent="0.35">
      <c r="A82" s="37" t="s">
        <v>68</v>
      </c>
      <c r="B82" s="499" t="s">
        <v>145</v>
      </c>
      <c r="C82" s="499"/>
      <c r="D82" s="499"/>
      <c r="E82" s="499"/>
      <c r="F82" s="499"/>
      <c r="G82" s="499"/>
      <c r="H82" s="499"/>
      <c r="I82" s="499"/>
      <c r="J82" s="81">
        <f>'Dados do Licitante'!H77</f>
        <v>2.7397260273972603E-3</v>
      </c>
      <c r="K82" s="96">
        <f t="shared" si="1"/>
        <v>10.01</v>
      </c>
      <c r="L82" s="99"/>
      <c r="M82" s="99"/>
      <c r="N82" s="99"/>
      <c r="O82" s="99"/>
      <c r="P82" s="99"/>
      <c r="Q82" s="99"/>
      <c r="R82" s="99"/>
      <c r="S82" s="99"/>
      <c r="T82" s="99"/>
    </row>
    <row r="83" spans="1:20" x14ac:dyDescent="0.35">
      <c r="A83" s="37" t="s">
        <v>70</v>
      </c>
      <c r="B83" s="499" t="s">
        <v>146</v>
      </c>
      <c r="C83" s="499"/>
      <c r="D83" s="499"/>
      <c r="E83" s="499"/>
      <c r="F83" s="499"/>
      <c r="G83" s="499"/>
      <c r="H83" s="499"/>
      <c r="I83" s="499"/>
      <c r="J83" s="81">
        <f>'Dados do Licitante'!H78</f>
        <v>2.1289717479452052E-4</v>
      </c>
      <c r="K83" s="96">
        <f t="shared" si="1"/>
        <v>0.77</v>
      </c>
      <c r="L83" s="99"/>
      <c r="M83" s="99"/>
      <c r="N83" s="99"/>
      <c r="O83" s="99"/>
      <c r="P83" s="99"/>
      <c r="Q83" s="99"/>
      <c r="R83" s="99"/>
      <c r="S83" s="99"/>
      <c r="T83" s="99"/>
    </row>
    <row r="84" spans="1:20" x14ac:dyDescent="0.35">
      <c r="A84" s="37" t="s">
        <v>72</v>
      </c>
      <c r="B84" s="454" t="s">
        <v>53</v>
      </c>
      <c r="C84" s="454"/>
      <c r="D84" s="454"/>
      <c r="E84" s="454"/>
      <c r="F84" s="454"/>
      <c r="G84" s="454"/>
      <c r="H84" s="454"/>
      <c r="I84" s="454"/>
      <c r="J84" s="81">
        <v>0</v>
      </c>
      <c r="K84" s="96">
        <f t="shared" si="1"/>
        <v>0</v>
      </c>
      <c r="L84" s="99"/>
      <c r="M84" s="99"/>
      <c r="N84" s="99"/>
      <c r="O84" s="99"/>
      <c r="P84" s="99"/>
      <c r="Q84" s="99"/>
      <c r="R84" s="99"/>
      <c r="S84" s="99"/>
      <c r="T84" s="99"/>
    </row>
    <row r="85" spans="1:20" x14ac:dyDescent="0.35">
      <c r="A85" s="450" t="s">
        <v>119</v>
      </c>
      <c r="B85" s="450"/>
      <c r="C85" s="450"/>
      <c r="D85" s="450"/>
      <c r="E85" s="450"/>
      <c r="F85" s="450"/>
      <c r="G85" s="450"/>
      <c r="H85" s="450"/>
      <c r="I85" s="450"/>
      <c r="J85" s="74"/>
      <c r="K85" s="102">
        <f>K77+K79+K80+K81+K82+K83+K84</f>
        <v>366.40999999999991</v>
      </c>
      <c r="L85" s="101"/>
      <c r="M85" s="101"/>
      <c r="N85" s="101"/>
      <c r="O85" s="101"/>
      <c r="P85" s="101"/>
      <c r="Q85" s="101"/>
      <c r="R85" s="101"/>
      <c r="S85" s="101"/>
      <c r="T85" s="101"/>
    </row>
    <row r="86" spans="1:20" x14ac:dyDescent="0.35">
      <c r="A86" s="502"/>
      <c r="B86" s="502"/>
      <c r="C86" s="502"/>
      <c r="D86" s="502"/>
      <c r="E86" s="502"/>
      <c r="F86" s="502"/>
      <c r="G86" s="502"/>
      <c r="H86" s="502"/>
      <c r="I86" s="502"/>
      <c r="J86" s="502"/>
      <c r="K86" s="502"/>
      <c r="L86" s="29"/>
      <c r="M86" s="51"/>
      <c r="N86" s="51"/>
      <c r="O86" s="51"/>
      <c r="P86" s="51"/>
      <c r="Q86" s="51"/>
      <c r="R86" s="51"/>
      <c r="S86" s="51"/>
      <c r="T86" s="51"/>
    </row>
    <row r="87" spans="1:20" x14ac:dyDescent="0.35">
      <c r="A87" s="465" t="s">
        <v>147</v>
      </c>
      <c r="B87" s="465"/>
      <c r="C87" s="465"/>
      <c r="D87" s="465"/>
      <c r="E87" s="465"/>
      <c r="F87" s="465"/>
      <c r="G87" s="465"/>
      <c r="H87" s="465"/>
      <c r="I87" s="465"/>
      <c r="J87" s="465"/>
      <c r="K87" s="103"/>
      <c r="L87" s="107"/>
      <c r="M87" s="107"/>
      <c r="N87" s="107"/>
      <c r="O87" s="107"/>
      <c r="P87" s="107"/>
      <c r="Q87" s="107"/>
      <c r="R87" s="107"/>
      <c r="S87" s="107"/>
      <c r="T87" s="107"/>
    </row>
    <row r="88" spans="1:20" x14ac:dyDescent="0.35">
      <c r="A88" s="37" t="s">
        <v>57</v>
      </c>
      <c r="B88" s="454" t="s">
        <v>148</v>
      </c>
      <c r="C88" s="454"/>
      <c r="D88" s="454"/>
      <c r="E88" s="454"/>
      <c r="F88" s="454"/>
      <c r="G88" s="454"/>
      <c r="H88" s="454"/>
      <c r="I88" s="454"/>
      <c r="J88" s="84"/>
      <c r="K88" s="112">
        <v>0</v>
      </c>
      <c r="L88" s="113"/>
      <c r="M88" s="113"/>
      <c r="N88" s="113"/>
      <c r="O88" s="113"/>
      <c r="P88" s="113"/>
      <c r="Q88" s="113"/>
      <c r="R88" s="113"/>
      <c r="S88" s="113"/>
      <c r="T88" s="113"/>
    </row>
    <row r="89" spans="1:20" x14ac:dyDescent="0.35">
      <c r="A89" s="450" t="s">
        <v>119</v>
      </c>
      <c r="B89" s="450" t="s">
        <v>119</v>
      </c>
      <c r="C89" s="450"/>
      <c r="D89" s="450"/>
      <c r="E89" s="450"/>
      <c r="F89" s="450"/>
      <c r="G89" s="450"/>
      <c r="H89" s="450"/>
      <c r="I89" s="450"/>
      <c r="J89" s="74"/>
      <c r="K89" s="102">
        <f>K88</f>
        <v>0</v>
      </c>
      <c r="L89" s="101"/>
      <c r="M89" s="101"/>
      <c r="N89" s="101"/>
      <c r="O89" s="101"/>
      <c r="P89" s="101"/>
      <c r="Q89" s="101"/>
      <c r="R89" s="101"/>
      <c r="S89" s="101"/>
      <c r="T89" s="101"/>
    </row>
    <row r="90" spans="1:20" x14ac:dyDescent="0.35">
      <c r="A90" s="502"/>
      <c r="B90" s="502"/>
      <c r="C90" s="502"/>
      <c r="D90" s="502"/>
      <c r="E90" s="502"/>
      <c r="F90" s="502"/>
      <c r="G90" s="502"/>
      <c r="H90" s="502"/>
      <c r="I90" s="502"/>
      <c r="J90" s="502"/>
      <c r="K90" s="503"/>
      <c r="M90" s="106"/>
      <c r="N90" s="106"/>
      <c r="O90" s="106"/>
      <c r="P90" s="106"/>
      <c r="Q90" s="106"/>
      <c r="R90" s="106"/>
      <c r="S90" s="106"/>
      <c r="T90" s="106"/>
    </row>
    <row r="91" spans="1:20" x14ac:dyDescent="0.35">
      <c r="A91" s="450" t="s">
        <v>149</v>
      </c>
      <c r="B91" s="450"/>
      <c r="C91" s="450"/>
      <c r="D91" s="450"/>
      <c r="E91" s="450"/>
      <c r="F91" s="450"/>
      <c r="G91" s="450"/>
      <c r="H91" s="450"/>
      <c r="I91" s="450"/>
      <c r="J91" s="450"/>
      <c r="K91" s="103"/>
      <c r="L91" s="107"/>
      <c r="M91" s="107"/>
      <c r="N91" s="107"/>
      <c r="O91" s="107"/>
      <c r="P91" s="107"/>
      <c r="Q91" s="107"/>
      <c r="R91" s="107"/>
      <c r="S91" s="107"/>
      <c r="T91" s="107"/>
    </row>
    <row r="92" spans="1:20" x14ac:dyDescent="0.35">
      <c r="A92" s="37" t="s">
        <v>150</v>
      </c>
      <c r="B92" s="454" t="s">
        <v>151</v>
      </c>
      <c r="C92" s="454"/>
      <c r="D92" s="454"/>
      <c r="E92" s="454"/>
      <c r="F92" s="454"/>
      <c r="G92" s="454"/>
      <c r="H92" s="454"/>
      <c r="I92" s="454"/>
      <c r="J92" s="85"/>
      <c r="K92" s="96">
        <f>K85</f>
        <v>366.40999999999991</v>
      </c>
      <c r="L92" s="99"/>
      <c r="M92" s="99"/>
      <c r="N92" s="99"/>
      <c r="O92" s="99"/>
      <c r="P92" s="99"/>
      <c r="Q92" s="99"/>
      <c r="R92" s="99"/>
      <c r="S92" s="99"/>
      <c r="T92" s="99"/>
    </row>
    <row r="93" spans="1:20" x14ac:dyDescent="0.35">
      <c r="A93" s="37" t="s">
        <v>152</v>
      </c>
      <c r="B93" s="454" t="s">
        <v>153</v>
      </c>
      <c r="C93" s="454"/>
      <c r="D93" s="454"/>
      <c r="E93" s="454"/>
      <c r="F93" s="454"/>
      <c r="G93" s="454"/>
      <c r="H93" s="454"/>
      <c r="I93" s="454"/>
      <c r="J93" s="85"/>
      <c r="K93" s="96">
        <f>K89</f>
        <v>0</v>
      </c>
      <c r="L93" s="99"/>
      <c r="M93" s="99"/>
      <c r="N93" s="99"/>
      <c r="O93" s="99"/>
      <c r="P93" s="99"/>
      <c r="Q93" s="99"/>
      <c r="R93" s="99"/>
      <c r="S93" s="99"/>
      <c r="T93" s="99"/>
    </row>
    <row r="94" spans="1:20" x14ac:dyDescent="0.35">
      <c r="A94" s="464" t="s">
        <v>119</v>
      </c>
      <c r="B94" s="464" t="s">
        <v>119</v>
      </c>
      <c r="C94" s="464"/>
      <c r="D94" s="464"/>
      <c r="E94" s="464"/>
      <c r="F94" s="464"/>
      <c r="G94" s="464"/>
      <c r="H94" s="464"/>
      <c r="I94" s="464"/>
      <c r="J94" s="83"/>
      <c r="K94" s="97">
        <f>K92+K93</f>
        <v>366.40999999999991</v>
      </c>
      <c r="L94" s="101"/>
      <c r="M94" s="101"/>
      <c r="N94" s="101"/>
      <c r="O94" s="101"/>
      <c r="P94" s="101"/>
      <c r="Q94" s="101"/>
      <c r="R94" s="101"/>
      <c r="S94" s="101"/>
      <c r="T94" s="101"/>
    </row>
    <row r="95" spans="1:20" x14ac:dyDescent="0.35">
      <c r="A95" s="502"/>
      <c r="B95" s="502"/>
      <c r="C95" s="502"/>
      <c r="D95" s="502"/>
      <c r="E95" s="502"/>
      <c r="F95" s="502"/>
      <c r="G95" s="502"/>
      <c r="H95" s="502"/>
      <c r="I95" s="502"/>
      <c r="J95" s="502"/>
      <c r="K95" s="503"/>
      <c r="M95" s="106"/>
      <c r="N95" s="106"/>
      <c r="O95" s="106"/>
      <c r="P95" s="106"/>
      <c r="Q95" s="106"/>
      <c r="R95" s="106"/>
      <c r="S95" s="106"/>
      <c r="T95" s="106"/>
    </row>
    <row r="96" spans="1:20" x14ac:dyDescent="0.35">
      <c r="A96" s="465" t="s">
        <v>154</v>
      </c>
      <c r="B96" s="465"/>
      <c r="C96" s="465"/>
      <c r="D96" s="465"/>
      <c r="E96" s="465"/>
      <c r="F96" s="465"/>
      <c r="G96" s="465"/>
      <c r="H96" s="465"/>
      <c r="I96" s="465"/>
      <c r="J96" s="465"/>
      <c r="K96" s="103"/>
      <c r="L96" s="107"/>
      <c r="M96" s="107"/>
      <c r="N96" s="107"/>
      <c r="O96" s="107"/>
      <c r="P96" s="107"/>
      <c r="Q96" s="107"/>
      <c r="R96" s="107"/>
      <c r="S96" s="107"/>
      <c r="T96" s="107"/>
    </row>
    <row r="97" spans="1:20" x14ac:dyDescent="0.35">
      <c r="A97" s="37" t="s">
        <v>57</v>
      </c>
      <c r="B97" s="454" t="s">
        <v>206</v>
      </c>
      <c r="C97" s="454"/>
      <c r="D97" s="454"/>
      <c r="E97" s="454"/>
      <c r="F97" s="454"/>
      <c r="G97" s="454"/>
      <c r="H97" s="454"/>
      <c r="I97" s="454"/>
      <c r="J97" s="454"/>
      <c r="K97" s="96">
        <f>Uniformes!E32</f>
        <v>117.35999999999999</v>
      </c>
      <c r="L97" s="99" t="str">
        <f>IF(L$96=0,"",$K97)</f>
        <v/>
      </c>
      <c r="M97" s="99" t="str">
        <f t="shared" ref="M97:S97" si="2">IF(M$96=0,"",$K97)</f>
        <v/>
      </c>
      <c r="N97" s="99" t="str">
        <f t="shared" si="2"/>
        <v/>
      </c>
      <c r="O97" s="99"/>
      <c r="P97" s="99"/>
      <c r="Q97" s="99"/>
      <c r="R97" s="99"/>
      <c r="S97" s="99" t="str">
        <f t="shared" si="2"/>
        <v/>
      </c>
      <c r="T97" s="99"/>
    </row>
    <row r="98" spans="1:20" ht="33" customHeight="1" x14ac:dyDescent="0.35">
      <c r="A98" s="37" t="s">
        <v>60</v>
      </c>
      <c r="B98" s="505" t="s">
        <v>155</v>
      </c>
      <c r="C98" s="506"/>
      <c r="D98" s="506"/>
      <c r="E98" s="507"/>
      <c r="F98" s="492"/>
      <c r="G98" s="492"/>
      <c r="H98" s="492"/>
      <c r="I98" s="492"/>
      <c r="J98" s="86">
        <f>'Dados do Licitante'!G82</f>
        <v>2.47E-2</v>
      </c>
      <c r="K98" s="96">
        <f>J98*(K105+K106+K107+K108)</f>
        <v>117.99670889239999</v>
      </c>
      <c r="L98" s="99" t="s">
        <v>201</v>
      </c>
      <c r="M98" s="99"/>
      <c r="N98" s="99"/>
      <c r="O98" s="99"/>
      <c r="P98" s="99"/>
      <c r="Q98" s="99"/>
      <c r="R98" s="99"/>
      <c r="S98" s="99"/>
      <c r="T98" s="99"/>
    </row>
    <row r="99" spans="1:20" x14ac:dyDescent="0.35">
      <c r="A99" s="450" t="s">
        <v>64</v>
      </c>
      <c r="B99" s="508" t="s">
        <v>156</v>
      </c>
      <c r="C99" s="508"/>
      <c r="D99" s="509" t="s">
        <v>157</v>
      </c>
      <c r="E99" s="509"/>
      <c r="F99" s="509"/>
      <c r="G99" s="509"/>
      <c r="H99" s="509"/>
      <c r="I99" s="509"/>
      <c r="J99" s="509"/>
      <c r="K99" s="96"/>
      <c r="L99" s="99"/>
      <c r="M99" s="114"/>
      <c r="N99" s="114"/>
      <c r="O99" s="114"/>
      <c r="P99" s="114"/>
      <c r="Q99" s="114"/>
      <c r="R99" s="114"/>
      <c r="S99" s="114"/>
      <c r="T99" s="114"/>
    </row>
    <row r="100" spans="1:20" x14ac:dyDescent="0.35">
      <c r="A100" s="450"/>
      <c r="B100" s="508"/>
      <c r="C100" s="508"/>
      <c r="D100" s="509" t="s">
        <v>157</v>
      </c>
      <c r="E100" s="509"/>
      <c r="F100" s="509"/>
      <c r="G100" s="509"/>
      <c r="H100" s="509"/>
      <c r="I100" s="509"/>
      <c r="J100" s="509"/>
      <c r="K100" s="96"/>
      <c r="L100" s="99"/>
      <c r="M100" s="114"/>
      <c r="N100" s="114"/>
      <c r="O100" s="114"/>
      <c r="P100" s="114"/>
      <c r="Q100" s="114"/>
      <c r="R100" s="114"/>
      <c r="S100" s="114"/>
      <c r="T100" s="114"/>
    </row>
    <row r="101" spans="1:20" x14ac:dyDescent="0.35">
      <c r="A101" s="464" t="s">
        <v>158</v>
      </c>
      <c r="B101" s="464"/>
      <c r="C101" s="464"/>
      <c r="D101" s="464"/>
      <c r="E101" s="464"/>
      <c r="F101" s="464"/>
      <c r="G101" s="464"/>
      <c r="H101" s="464"/>
      <c r="I101" s="464"/>
      <c r="J101" s="464"/>
      <c r="K101" s="97">
        <f t="shared" ref="K101" si="3">SUM(K97:K100)</f>
        <v>235.35670889239998</v>
      </c>
      <c r="L101" s="101"/>
      <c r="M101" s="101"/>
      <c r="N101" s="101"/>
      <c r="O101" s="101"/>
      <c r="P101" s="101"/>
      <c r="Q101" s="101"/>
      <c r="R101" s="101"/>
      <c r="S101" s="101"/>
      <c r="T101" s="101"/>
    </row>
    <row r="102" spans="1:20" x14ac:dyDescent="0.35">
      <c r="A102" s="504"/>
      <c r="B102" s="504"/>
      <c r="C102" s="504"/>
      <c r="D102" s="504"/>
      <c r="E102" s="504"/>
      <c r="F102" s="504"/>
      <c r="G102" s="504"/>
      <c r="H102" s="504"/>
      <c r="I102" s="504"/>
      <c r="J102" s="504"/>
      <c r="K102" s="504"/>
      <c r="M102" s="106"/>
      <c r="N102" s="106"/>
      <c r="O102" s="106"/>
      <c r="P102" s="106"/>
      <c r="Q102" s="106"/>
      <c r="R102" s="106"/>
      <c r="S102" s="106"/>
      <c r="T102" s="106"/>
    </row>
    <row r="103" spans="1:20" x14ac:dyDescent="0.35">
      <c r="A103" s="510" t="s">
        <v>159</v>
      </c>
      <c r="B103" s="303"/>
      <c r="C103" s="303"/>
      <c r="D103" s="303"/>
      <c r="E103" s="303"/>
      <c r="F103" s="303"/>
      <c r="G103" s="303"/>
      <c r="H103" s="303"/>
      <c r="I103" s="303"/>
      <c r="J103" s="303"/>
      <c r="K103" s="303"/>
      <c r="L103" s="117"/>
      <c r="M103" s="117"/>
      <c r="N103" s="117"/>
      <c r="O103" s="117"/>
      <c r="P103" s="117"/>
      <c r="Q103" s="117"/>
      <c r="R103" s="117"/>
      <c r="S103" s="117"/>
      <c r="T103" s="117"/>
    </row>
    <row r="104" spans="1:20" x14ac:dyDescent="0.35">
      <c r="A104" s="465" t="s">
        <v>160</v>
      </c>
      <c r="B104" s="465"/>
      <c r="C104" s="465"/>
      <c r="D104" s="465"/>
      <c r="E104" s="465"/>
      <c r="F104" s="465"/>
      <c r="G104" s="465"/>
      <c r="H104" s="465"/>
      <c r="I104" s="465"/>
      <c r="J104" s="465"/>
      <c r="K104" s="103"/>
      <c r="L104" s="107"/>
      <c r="M104" s="107"/>
      <c r="N104" s="107"/>
      <c r="O104" s="107"/>
      <c r="P104" s="107"/>
      <c r="Q104" s="107"/>
      <c r="R104" s="107"/>
      <c r="S104" s="107"/>
      <c r="T104" s="107"/>
    </row>
    <row r="105" spans="1:20" x14ac:dyDescent="0.35">
      <c r="A105" s="37" t="s">
        <v>57</v>
      </c>
      <c r="B105" s="452" t="s">
        <v>92</v>
      </c>
      <c r="C105" s="452"/>
      <c r="D105" s="452"/>
      <c r="E105" s="452"/>
      <c r="F105" s="452"/>
      <c r="G105" s="452"/>
      <c r="H105" s="452"/>
      <c r="I105" s="452"/>
      <c r="J105" s="452"/>
      <c r="K105" s="96">
        <f t="shared" ref="K105" si="4">K26</f>
        <v>2283.36</v>
      </c>
      <c r="L105" s="99"/>
      <c r="M105" s="99"/>
      <c r="N105" s="99"/>
      <c r="O105" s="99"/>
      <c r="P105" s="99"/>
      <c r="Q105" s="99"/>
      <c r="R105" s="99"/>
      <c r="S105" s="99"/>
      <c r="T105" s="99"/>
    </row>
    <row r="106" spans="1:20" x14ac:dyDescent="0.35">
      <c r="A106" s="37" t="s">
        <v>60</v>
      </c>
      <c r="B106" s="452" t="s">
        <v>161</v>
      </c>
      <c r="C106" s="452"/>
      <c r="D106" s="452"/>
      <c r="E106" s="452"/>
      <c r="F106" s="452"/>
      <c r="G106" s="452"/>
      <c r="H106" s="452"/>
      <c r="I106" s="452"/>
      <c r="J106" s="452"/>
      <c r="K106" s="96">
        <f t="shared" ref="K106" si="5">K62</f>
        <v>1985.0746919999999</v>
      </c>
      <c r="L106" s="99"/>
      <c r="M106" s="99"/>
      <c r="N106" s="99"/>
      <c r="O106" s="99"/>
      <c r="P106" s="99"/>
      <c r="Q106" s="99"/>
      <c r="R106" s="99"/>
      <c r="S106" s="99"/>
      <c r="T106" s="99"/>
    </row>
    <row r="107" spans="1:20" x14ac:dyDescent="0.35">
      <c r="A107" s="37" t="s">
        <v>64</v>
      </c>
      <c r="B107" s="452" t="s">
        <v>162</v>
      </c>
      <c r="C107" s="452"/>
      <c r="D107" s="452"/>
      <c r="E107" s="452"/>
      <c r="F107" s="452"/>
      <c r="G107" s="452"/>
      <c r="H107" s="452"/>
      <c r="I107" s="452"/>
      <c r="J107" s="452"/>
      <c r="K107" s="96">
        <f>K72</f>
        <v>142.35</v>
      </c>
      <c r="L107" s="99"/>
      <c r="M107" s="99"/>
      <c r="N107" s="99"/>
      <c r="O107" s="99"/>
      <c r="P107" s="99"/>
      <c r="Q107" s="99"/>
      <c r="R107" s="99"/>
      <c r="S107" s="99"/>
      <c r="T107" s="99"/>
    </row>
    <row r="108" spans="1:20" x14ac:dyDescent="0.35">
      <c r="A108" s="37" t="s">
        <v>66</v>
      </c>
      <c r="B108" s="452" t="s">
        <v>163</v>
      </c>
      <c r="C108" s="452"/>
      <c r="D108" s="452"/>
      <c r="E108" s="452"/>
      <c r="F108" s="452"/>
      <c r="G108" s="452"/>
      <c r="H108" s="452"/>
      <c r="I108" s="452"/>
      <c r="J108" s="452"/>
      <c r="K108" s="96">
        <f>K94</f>
        <v>366.40999999999991</v>
      </c>
      <c r="L108" s="99"/>
      <c r="M108" s="99"/>
      <c r="N108" s="99"/>
      <c r="O108" s="99"/>
      <c r="P108" s="99"/>
      <c r="Q108" s="99"/>
      <c r="R108" s="99"/>
      <c r="S108" s="99"/>
      <c r="T108" s="99"/>
    </row>
    <row r="109" spans="1:20" x14ac:dyDescent="0.35">
      <c r="A109" s="37" t="s">
        <v>68</v>
      </c>
      <c r="B109" s="452" t="s">
        <v>164</v>
      </c>
      <c r="C109" s="452"/>
      <c r="D109" s="452"/>
      <c r="E109" s="452"/>
      <c r="F109" s="452"/>
      <c r="G109" s="452"/>
      <c r="H109" s="452"/>
      <c r="I109" s="452"/>
      <c r="J109" s="452"/>
      <c r="K109" s="96">
        <f>K101</f>
        <v>235.35670889239998</v>
      </c>
      <c r="L109" s="99"/>
      <c r="M109" s="99"/>
      <c r="N109" s="99"/>
      <c r="O109" s="99"/>
      <c r="P109" s="99"/>
      <c r="Q109" s="99"/>
      <c r="R109" s="99"/>
      <c r="S109" s="99"/>
      <c r="T109" s="99"/>
    </row>
    <row r="110" spans="1:20" x14ac:dyDescent="0.35">
      <c r="A110" s="517" t="s">
        <v>165</v>
      </c>
      <c r="B110" s="517"/>
      <c r="C110" s="517"/>
      <c r="D110" s="517"/>
      <c r="E110" s="517"/>
      <c r="F110" s="517"/>
      <c r="G110" s="517"/>
      <c r="H110" s="517"/>
      <c r="I110" s="517"/>
      <c r="J110" s="517"/>
      <c r="K110" s="97">
        <f>SUM(K105:K109)</f>
        <v>5012.5514008924001</v>
      </c>
      <c r="L110" s="101"/>
      <c r="M110" s="101"/>
      <c r="N110" s="101"/>
      <c r="O110" s="101"/>
      <c r="P110" s="101"/>
      <c r="Q110" s="101"/>
      <c r="R110" s="101"/>
      <c r="S110" s="101"/>
      <c r="T110" s="101"/>
    </row>
    <row r="111" spans="1:20" x14ac:dyDescent="0.35">
      <c r="A111" s="478"/>
      <c r="B111" s="478"/>
      <c r="C111" s="478"/>
      <c r="D111" s="478"/>
      <c r="E111" s="478"/>
      <c r="F111" s="478"/>
      <c r="G111" s="478"/>
      <c r="H111" s="478"/>
      <c r="I111" s="478"/>
      <c r="J111" s="478"/>
      <c r="K111" s="478"/>
      <c r="M111" s="106"/>
      <c r="N111" s="106"/>
      <c r="O111" s="106"/>
      <c r="P111" s="106"/>
      <c r="Q111" s="106"/>
      <c r="R111" s="106"/>
      <c r="S111" s="106"/>
      <c r="T111" s="106"/>
    </row>
    <row r="112" spans="1:20" x14ac:dyDescent="0.35">
      <c r="A112" s="465" t="s">
        <v>166</v>
      </c>
      <c r="B112" s="465"/>
      <c r="C112" s="465"/>
      <c r="D112" s="465"/>
      <c r="E112" s="465"/>
      <c r="F112" s="465"/>
      <c r="G112" s="465"/>
      <c r="H112" s="465"/>
      <c r="I112" s="465"/>
      <c r="J112" s="465"/>
      <c r="K112" s="103"/>
      <c r="L112" s="107"/>
      <c r="M112" s="107"/>
      <c r="N112" s="107"/>
      <c r="O112" s="107"/>
      <c r="P112" s="107"/>
      <c r="Q112" s="107"/>
      <c r="R112" s="107"/>
      <c r="S112" s="107"/>
      <c r="T112" s="107"/>
    </row>
    <row r="113" spans="1:20" x14ac:dyDescent="0.35">
      <c r="A113" s="37" t="s">
        <v>57</v>
      </c>
      <c r="B113" s="452" t="s">
        <v>167</v>
      </c>
      <c r="C113" s="452"/>
      <c r="D113" s="452"/>
      <c r="E113" s="452"/>
      <c r="F113" s="452"/>
      <c r="G113" s="452"/>
      <c r="H113" s="452"/>
      <c r="I113" s="452"/>
      <c r="J113" s="73">
        <f>'Dados do Licitante'!F23</f>
        <v>0.11749999999999999</v>
      </c>
      <c r="K113" s="96">
        <f>TRUNC(K$110*$J113,2)</f>
        <v>588.97</v>
      </c>
      <c r="L113" s="99"/>
      <c r="M113" s="99"/>
      <c r="N113" s="99"/>
      <c r="O113" s="99"/>
      <c r="P113" s="99"/>
      <c r="Q113" s="99"/>
      <c r="R113" s="99"/>
      <c r="S113" s="99"/>
      <c r="T113" s="99"/>
    </row>
    <row r="114" spans="1:20" x14ac:dyDescent="0.35">
      <c r="A114" s="37" t="s">
        <v>60</v>
      </c>
      <c r="B114" s="452" t="s">
        <v>168</v>
      </c>
      <c r="C114" s="452"/>
      <c r="D114" s="452"/>
      <c r="E114" s="452"/>
      <c r="F114" s="452"/>
      <c r="G114" s="452"/>
      <c r="H114" s="452"/>
      <c r="I114" s="452"/>
      <c r="J114" s="73">
        <f>'Dados do Licitante'!F24</f>
        <v>0.10979999999999999</v>
      </c>
      <c r="K114" s="96">
        <f>TRUNC((K110+K113)*$J114,2)</f>
        <v>615.04</v>
      </c>
      <c r="L114" s="99"/>
      <c r="M114" s="99"/>
      <c r="N114" s="99"/>
      <c r="O114" s="99"/>
      <c r="P114" s="99"/>
      <c r="Q114" s="99"/>
      <c r="R114" s="99"/>
      <c r="S114" s="99"/>
      <c r="T114" s="99"/>
    </row>
    <row r="115" spans="1:20" x14ac:dyDescent="0.35">
      <c r="A115" s="511" t="s">
        <v>64</v>
      </c>
      <c r="B115" s="513" t="s">
        <v>169</v>
      </c>
      <c r="C115" s="514"/>
      <c r="D115" s="514"/>
      <c r="E115" s="514"/>
      <c r="F115" s="514"/>
      <c r="G115" s="514"/>
      <c r="H115" s="514"/>
      <c r="I115" s="514"/>
      <c r="J115" s="87" t="s">
        <v>170</v>
      </c>
      <c r="K115" s="115">
        <f>'Dados do Licitante'!H31</f>
        <v>8.6499999999999994E-2</v>
      </c>
      <c r="L115" s="118"/>
      <c r="M115" s="119"/>
      <c r="N115" s="119"/>
      <c r="O115" s="119"/>
      <c r="P115" s="119"/>
      <c r="Q115" s="119"/>
      <c r="R115" s="119"/>
      <c r="S115" s="119"/>
      <c r="T115" s="119"/>
    </row>
    <row r="116" spans="1:20" x14ac:dyDescent="0.35">
      <c r="A116" s="512"/>
      <c r="B116" s="515"/>
      <c r="C116" s="516"/>
      <c r="D116" s="516"/>
      <c r="E116" s="516"/>
      <c r="F116" s="516"/>
      <c r="G116" s="516"/>
      <c r="H116" s="516"/>
      <c r="I116" s="516"/>
      <c r="J116" s="88" t="s">
        <v>171</v>
      </c>
      <c r="K116" s="96">
        <f>IF(K115&lt;&gt;"",K119*K115,0)</f>
        <v>588.65086062090052</v>
      </c>
      <c r="L116" s="99"/>
      <c r="M116" s="99"/>
      <c r="N116" s="99"/>
      <c r="O116" s="99"/>
      <c r="P116" s="99"/>
      <c r="Q116" s="99"/>
      <c r="R116" s="99"/>
      <c r="S116" s="99"/>
      <c r="T116" s="99"/>
    </row>
    <row r="117" spans="1:20" x14ac:dyDescent="0.35">
      <c r="A117" s="517" t="s">
        <v>172</v>
      </c>
      <c r="B117" s="517"/>
      <c r="C117" s="517"/>
      <c r="D117" s="517"/>
      <c r="E117" s="517"/>
      <c r="F117" s="517"/>
      <c r="G117" s="517"/>
      <c r="H117" s="517"/>
      <c r="I117" s="517"/>
      <c r="J117" s="517"/>
      <c r="K117" s="97">
        <f>K113+K114+K116</f>
        <v>1792.6608606209006</v>
      </c>
      <c r="L117" s="101"/>
      <c r="M117" s="101"/>
      <c r="N117" s="101"/>
      <c r="O117" s="101"/>
      <c r="P117" s="101"/>
      <c r="Q117" s="101"/>
      <c r="R117" s="101"/>
      <c r="S117" s="101"/>
      <c r="T117" s="101"/>
    </row>
    <row r="118" spans="1:20" x14ac:dyDescent="0.35">
      <c r="A118" s="62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93"/>
      <c r="M118" s="106"/>
      <c r="N118" s="106"/>
      <c r="O118" s="106"/>
      <c r="P118" s="106"/>
      <c r="Q118" s="106"/>
      <c r="R118" s="106"/>
      <c r="S118" s="106"/>
      <c r="T118" s="106"/>
    </row>
    <row r="119" spans="1:20" x14ac:dyDescent="0.35">
      <c r="A119" s="518" t="s">
        <v>173</v>
      </c>
      <c r="B119" s="518"/>
      <c r="C119" s="518"/>
      <c r="D119" s="518"/>
      <c r="E119" s="518"/>
      <c r="F119" s="518"/>
      <c r="G119" s="518"/>
      <c r="H119" s="518"/>
      <c r="I119" s="518"/>
      <c r="J119" s="518"/>
      <c r="K119" s="116">
        <f>IF(K115&lt;&gt;"",(K110+K113+K114)/(1-K115),0)</f>
        <v>6805.2122615133012</v>
      </c>
      <c r="L119" s="120"/>
      <c r="M119" s="120"/>
      <c r="N119" s="120"/>
      <c r="O119" s="120"/>
      <c r="P119" s="120"/>
      <c r="Q119" s="120"/>
      <c r="R119" s="120"/>
      <c r="S119" s="120"/>
      <c r="T119" s="120"/>
    </row>
  </sheetData>
  <mergeCells count="150">
    <mergeCell ref="B113:I113"/>
    <mergeCell ref="B114:I114"/>
    <mergeCell ref="A115:A116"/>
    <mergeCell ref="B115:I116"/>
    <mergeCell ref="A117:J117"/>
    <mergeCell ref="A119:J119"/>
    <mergeCell ref="B107:J107"/>
    <mergeCell ref="B108:J108"/>
    <mergeCell ref="B109:J109"/>
    <mergeCell ref="A110:J110"/>
    <mergeCell ref="A111:K111"/>
    <mergeCell ref="A112:J112"/>
    <mergeCell ref="A101:J101"/>
    <mergeCell ref="A102:K102"/>
    <mergeCell ref="A104:J104"/>
    <mergeCell ref="B105:J105"/>
    <mergeCell ref="B106:J106"/>
    <mergeCell ref="A95:K95"/>
    <mergeCell ref="A96:J96"/>
    <mergeCell ref="B97:J97"/>
    <mergeCell ref="B98:E98"/>
    <mergeCell ref="F98:I98"/>
    <mergeCell ref="A99:A100"/>
    <mergeCell ref="B99:C100"/>
    <mergeCell ref="D99:J99"/>
    <mergeCell ref="D100:J100"/>
    <mergeCell ref="A103:K103"/>
    <mergeCell ref="A89:I89"/>
    <mergeCell ref="A90:K90"/>
    <mergeCell ref="A91:J91"/>
    <mergeCell ref="B92:I92"/>
    <mergeCell ref="B93:I93"/>
    <mergeCell ref="A94:I94"/>
    <mergeCell ref="B84:I84"/>
    <mergeCell ref="A85:I85"/>
    <mergeCell ref="A86:K86"/>
    <mergeCell ref="A87:J87"/>
    <mergeCell ref="B88:I88"/>
    <mergeCell ref="A78:J78"/>
    <mergeCell ref="B79:I79"/>
    <mergeCell ref="B80:I80"/>
    <mergeCell ref="B81:I81"/>
    <mergeCell ref="B82:I82"/>
    <mergeCell ref="B83:I83"/>
    <mergeCell ref="R74:R75"/>
    <mergeCell ref="S74:S75"/>
    <mergeCell ref="T74:T75"/>
    <mergeCell ref="A75:J75"/>
    <mergeCell ref="A76:J76"/>
    <mergeCell ref="B77:I77"/>
    <mergeCell ref="L74:L75"/>
    <mergeCell ref="M74:M75"/>
    <mergeCell ref="N74:N75"/>
    <mergeCell ref="O74:O75"/>
    <mergeCell ref="P74:P75"/>
    <mergeCell ref="Q74:Q75"/>
    <mergeCell ref="B69:I69"/>
    <mergeCell ref="A70:J70"/>
    <mergeCell ref="B71:I71"/>
    <mergeCell ref="A72:I72"/>
    <mergeCell ref="A73:K73"/>
    <mergeCell ref="A74:J74"/>
    <mergeCell ref="K74:K75"/>
    <mergeCell ref="A65:J65"/>
    <mergeCell ref="B66:C66"/>
    <mergeCell ref="F66:G66"/>
    <mergeCell ref="H66:I66"/>
    <mergeCell ref="B67:I67"/>
    <mergeCell ref="B68:E68"/>
    <mergeCell ref="F68:G68"/>
    <mergeCell ref="H68:I68"/>
    <mergeCell ref="B59:I59"/>
    <mergeCell ref="B60:I60"/>
    <mergeCell ref="B61:J61"/>
    <mergeCell ref="B62:J62"/>
    <mergeCell ref="A63:K63"/>
    <mergeCell ref="A64:J64"/>
    <mergeCell ref="B53:J53"/>
    <mergeCell ref="B54:J54"/>
    <mergeCell ref="B55:J55"/>
    <mergeCell ref="B56:J56"/>
    <mergeCell ref="A57:K57"/>
    <mergeCell ref="A58:J58"/>
    <mergeCell ref="B47:J47"/>
    <mergeCell ref="B48:J48"/>
    <mergeCell ref="B49:J49"/>
    <mergeCell ref="B50:J50"/>
    <mergeCell ref="B51:J51"/>
    <mergeCell ref="B52:J52"/>
    <mergeCell ref="B42:I42"/>
    <mergeCell ref="B43:E43"/>
    <mergeCell ref="H43:I43"/>
    <mergeCell ref="C44:I44"/>
    <mergeCell ref="A46:J46"/>
    <mergeCell ref="A36:I36"/>
    <mergeCell ref="B37:I37"/>
    <mergeCell ref="B38:I38"/>
    <mergeCell ref="B39:I39"/>
    <mergeCell ref="B40:I40"/>
    <mergeCell ref="B41:I41"/>
    <mergeCell ref="B30:I30"/>
    <mergeCell ref="B31:I31"/>
    <mergeCell ref="B32:I32"/>
    <mergeCell ref="A33:K33"/>
    <mergeCell ref="A34:J34"/>
    <mergeCell ref="A35:J35"/>
    <mergeCell ref="P28:P29"/>
    <mergeCell ref="Q28:Q29"/>
    <mergeCell ref="R28:R29"/>
    <mergeCell ref="S28:S29"/>
    <mergeCell ref="T28:T29"/>
    <mergeCell ref="A29:J29"/>
    <mergeCell ref="A28:J28"/>
    <mergeCell ref="K28:K29"/>
    <mergeCell ref="L28:L29"/>
    <mergeCell ref="M28:M29"/>
    <mergeCell ref="N28:N29"/>
    <mergeCell ref="O28:O29"/>
    <mergeCell ref="B22:J22"/>
    <mergeCell ref="B23:J23"/>
    <mergeCell ref="B24:J24"/>
    <mergeCell ref="B25:J25"/>
    <mergeCell ref="A26:J26"/>
    <mergeCell ref="B17:J17"/>
    <mergeCell ref="A19:J19"/>
    <mergeCell ref="B20:J20"/>
    <mergeCell ref="B21:D21"/>
    <mergeCell ref="E21:G21"/>
    <mergeCell ref="H21:I21"/>
    <mergeCell ref="B11:J11"/>
    <mergeCell ref="A13:K13"/>
    <mergeCell ref="B14:J14"/>
    <mergeCell ref="B15:J15"/>
    <mergeCell ref="B16:J16"/>
    <mergeCell ref="A5:K5"/>
    <mergeCell ref="A6:C6"/>
    <mergeCell ref="D6:K6"/>
    <mergeCell ref="A7:K7"/>
    <mergeCell ref="B8:D8"/>
    <mergeCell ref="E8:K8"/>
    <mergeCell ref="A12:K12"/>
    <mergeCell ref="A1:K1"/>
    <mergeCell ref="A2:C2"/>
    <mergeCell ref="D2:K2"/>
    <mergeCell ref="A3:C3"/>
    <mergeCell ref="D3:K3"/>
    <mergeCell ref="A4:C4"/>
    <mergeCell ref="D4:F4"/>
    <mergeCell ref="H4:K4"/>
    <mergeCell ref="B9:J9"/>
  </mergeCells>
  <conditionalFormatting sqref="J98">
    <cfRule type="expression" dxfId="7" priority="3">
      <formula>$J$98=""</formula>
    </cfRule>
  </conditionalFormatting>
  <conditionalFormatting sqref="F98:I98">
    <cfRule type="expression" dxfId="6" priority="2">
      <formula>$F$98=""</formula>
    </cfRule>
  </conditionalFormatting>
  <pageMargins left="0.511811024" right="0.511811024" top="0.78740157499999996" bottom="0.78740157499999996" header="0.31496062000000002" footer="0.31496062000000002"/>
  <pageSetup paperSize="9" scale="50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Option Button 1">
              <controlPr defaultSize="0" autoFill="0" autoLine="0" autoPict="0">
                <anchor moveWithCells="1">
                  <from>
                    <xdr:col>9</xdr:col>
                    <xdr:colOff>12700</xdr:colOff>
                    <xdr:row>20</xdr:row>
                    <xdr:rowOff>0</xdr:rowOff>
                  </from>
                  <to>
                    <xdr:col>9</xdr:col>
                    <xdr:colOff>279400</xdr:colOff>
                    <xdr:row>20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Option Button 2">
              <controlPr defaultSize="0" autoFill="0" autoLine="0" autoPict="0">
                <anchor moveWithCells="1">
                  <from>
                    <xdr:col>9</xdr:col>
                    <xdr:colOff>0</xdr:colOff>
                    <xdr:row>20</xdr:row>
                    <xdr:rowOff>76200</xdr:rowOff>
                  </from>
                  <to>
                    <xdr:col>9</xdr:col>
                    <xdr:colOff>520700</xdr:colOff>
                    <xdr:row>21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9457E-1962-491E-B2B1-EBC9F78A92A7}">
  <sheetPr>
    <pageSetUpPr fitToPage="1"/>
  </sheetPr>
  <dimension ref="A1:T120"/>
  <sheetViews>
    <sheetView topLeftCell="A44" workbookViewId="0">
      <selection activeCell="D2" sqref="D2:K3"/>
    </sheetView>
  </sheetViews>
  <sheetFormatPr defaultRowHeight="14.5" x14ac:dyDescent="0.35"/>
  <cols>
    <col min="11" max="11" width="14.36328125" customWidth="1"/>
  </cols>
  <sheetData>
    <row r="1" spans="1:20" x14ac:dyDescent="0.35">
      <c r="A1" s="450" t="s">
        <v>85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117"/>
      <c r="M1" s="106"/>
      <c r="N1" s="106"/>
      <c r="O1" s="106"/>
      <c r="P1" s="106"/>
      <c r="Q1" s="106"/>
      <c r="R1" s="106"/>
      <c r="S1" s="106"/>
      <c r="T1" s="106"/>
    </row>
    <row r="2" spans="1:20" x14ac:dyDescent="0.35">
      <c r="A2" s="451" t="s">
        <v>1</v>
      </c>
      <c r="B2" s="451"/>
      <c r="C2" s="451"/>
      <c r="D2" s="452" t="s">
        <v>336</v>
      </c>
      <c r="E2" s="452"/>
      <c r="F2" s="452"/>
      <c r="G2" s="452"/>
      <c r="H2" s="452"/>
      <c r="I2" s="452"/>
      <c r="J2" s="452"/>
      <c r="K2" s="452"/>
      <c r="L2" s="121"/>
      <c r="M2" s="106"/>
      <c r="N2" s="106"/>
      <c r="O2" s="106"/>
      <c r="P2" s="106"/>
      <c r="Q2" s="106"/>
      <c r="R2" s="106"/>
      <c r="S2" s="106"/>
      <c r="T2" s="106"/>
    </row>
    <row r="3" spans="1:20" x14ac:dyDescent="0.35">
      <c r="A3" s="451" t="s">
        <v>2</v>
      </c>
      <c r="B3" s="451"/>
      <c r="C3" s="451"/>
      <c r="D3" s="453" t="s">
        <v>335</v>
      </c>
      <c r="E3" s="454"/>
      <c r="F3" s="454"/>
      <c r="G3" s="454"/>
      <c r="H3" s="454"/>
      <c r="I3" s="454"/>
      <c r="J3" s="454"/>
      <c r="K3" s="454"/>
      <c r="L3" s="121"/>
      <c r="M3" s="106"/>
      <c r="N3" s="106"/>
      <c r="O3" s="106"/>
      <c r="P3" s="106"/>
      <c r="Q3" s="106"/>
      <c r="R3" s="106"/>
      <c r="S3" s="106"/>
      <c r="T3" s="106"/>
    </row>
    <row r="4" spans="1:20" x14ac:dyDescent="0.35">
      <c r="A4" s="451" t="s">
        <v>3</v>
      </c>
      <c r="B4" s="451"/>
      <c r="C4" s="451"/>
      <c r="D4" s="455">
        <v>44887</v>
      </c>
      <c r="E4" s="455"/>
      <c r="F4" s="455"/>
      <c r="G4" s="52" t="s">
        <v>4</v>
      </c>
      <c r="H4" s="452" t="s">
        <v>330</v>
      </c>
      <c r="I4" s="452"/>
      <c r="J4" s="452"/>
      <c r="K4" s="452"/>
      <c r="L4" s="121"/>
      <c r="M4" s="106"/>
      <c r="N4" s="106"/>
      <c r="O4" s="106"/>
      <c r="P4" s="106"/>
      <c r="Q4" s="106"/>
      <c r="R4" s="106"/>
      <c r="S4" s="106"/>
      <c r="T4" s="106"/>
    </row>
    <row r="5" spans="1:20" x14ac:dyDescent="0.35">
      <c r="A5" s="456"/>
      <c r="B5" s="456"/>
      <c r="C5" s="456"/>
      <c r="D5" s="456"/>
      <c r="E5" s="456"/>
      <c r="F5" s="456"/>
      <c r="G5" s="456"/>
      <c r="H5" s="456"/>
      <c r="I5" s="456"/>
      <c r="J5" s="456"/>
      <c r="K5" s="456"/>
      <c r="M5" s="106"/>
      <c r="N5" s="106"/>
      <c r="O5" s="106"/>
      <c r="P5" s="106"/>
      <c r="Q5" s="106"/>
      <c r="R5" s="106"/>
      <c r="S5" s="106"/>
      <c r="T5" s="106"/>
    </row>
    <row r="6" spans="1:20" x14ac:dyDescent="0.35">
      <c r="A6" s="451" t="s">
        <v>86</v>
      </c>
      <c r="B6" s="451"/>
      <c r="C6" s="451"/>
      <c r="D6" s="457" t="s">
        <v>198</v>
      </c>
      <c r="E6" s="457"/>
      <c r="F6" s="457"/>
      <c r="G6" s="457"/>
      <c r="H6" s="457"/>
      <c r="I6" s="457"/>
      <c r="J6" s="457"/>
      <c r="K6" s="457"/>
      <c r="L6" s="121"/>
      <c r="M6" s="106"/>
      <c r="N6" s="106"/>
      <c r="O6" s="106"/>
      <c r="P6" s="106"/>
      <c r="Q6" s="106"/>
      <c r="R6" s="106"/>
      <c r="S6" s="106"/>
      <c r="T6" s="106"/>
    </row>
    <row r="7" spans="1:20" x14ac:dyDescent="0.35">
      <c r="A7" s="458" t="s">
        <v>203</v>
      </c>
      <c r="B7" s="458"/>
      <c r="C7" s="458"/>
      <c r="D7" s="458"/>
      <c r="E7" s="458"/>
      <c r="F7" s="458"/>
      <c r="G7" s="458"/>
      <c r="H7" s="458"/>
      <c r="I7" s="458"/>
      <c r="J7" s="458"/>
      <c r="K7" s="458"/>
      <c r="M7" s="106"/>
      <c r="N7" s="106"/>
      <c r="O7" s="106"/>
      <c r="P7" s="106"/>
      <c r="Q7" s="106"/>
      <c r="R7" s="106"/>
      <c r="S7" s="106"/>
      <c r="T7" s="106"/>
    </row>
    <row r="8" spans="1:20" x14ac:dyDescent="0.35">
      <c r="A8" s="57" t="s">
        <v>87</v>
      </c>
      <c r="B8" s="459" t="s">
        <v>88</v>
      </c>
      <c r="C8" s="459"/>
      <c r="D8" s="459"/>
      <c r="E8" s="460" t="s">
        <v>197</v>
      </c>
      <c r="F8" s="461"/>
      <c r="G8" s="461"/>
      <c r="H8" s="461"/>
      <c r="I8" s="461"/>
      <c r="J8" s="461"/>
      <c r="K8" s="462"/>
      <c r="L8" s="117"/>
      <c r="M8" s="106"/>
      <c r="N8" s="106"/>
      <c r="O8" s="106"/>
      <c r="P8" s="106"/>
      <c r="Q8" s="106"/>
      <c r="R8" s="106"/>
      <c r="S8" s="106"/>
      <c r="T8" s="106"/>
    </row>
    <row r="9" spans="1:20" x14ac:dyDescent="0.35">
      <c r="A9" s="57" t="s">
        <v>87</v>
      </c>
      <c r="B9" s="452" t="s">
        <v>5</v>
      </c>
      <c r="C9" s="452"/>
      <c r="D9" s="452"/>
      <c r="E9" s="452"/>
      <c r="F9" s="452"/>
      <c r="G9" s="452"/>
      <c r="H9" s="452"/>
      <c r="I9" s="452"/>
      <c r="J9" s="452"/>
      <c r="K9" s="60">
        <v>20</v>
      </c>
      <c r="L9" s="100"/>
      <c r="M9" s="106"/>
      <c r="N9" s="106"/>
      <c r="O9" s="106"/>
      <c r="P9" s="106"/>
      <c r="Q9" s="106"/>
      <c r="R9" s="106"/>
      <c r="S9" s="106"/>
      <c r="T9" s="106"/>
    </row>
    <row r="10" spans="1:20" x14ac:dyDescent="0.3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93"/>
      <c r="M10" s="106"/>
      <c r="N10" s="106"/>
      <c r="O10" s="106"/>
      <c r="P10" s="106"/>
      <c r="Q10" s="106"/>
      <c r="R10" s="106"/>
      <c r="S10" s="106"/>
      <c r="T10" s="106"/>
    </row>
    <row r="11" spans="1:20" x14ac:dyDescent="0.35">
      <c r="A11" s="57" t="s">
        <v>87</v>
      </c>
      <c r="B11" s="452" t="s">
        <v>6</v>
      </c>
      <c r="C11" s="452"/>
      <c r="D11" s="452"/>
      <c r="E11" s="452"/>
      <c r="F11" s="452"/>
      <c r="G11" s="452"/>
      <c r="H11" s="452"/>
      <c r="I11" s="452"/>
      <c r="J11" s="452"/>
      <c r="K11" s="58" t="s">
        <v>175</v>
      </c>
      <c r="L11" s="100"/>
      <c r="M11" s="106"/>
      <c r="N11" s="106"/>
      <c r="O11" s="106"/>
      <c r="P11" s="106"/>
      <c r="Q11" s="106"/>
      <c r="R11" s="106"/>
      <c r="S11" s="106"/>
      <c r="T11" s="106"/>
    </row>
    <row r="12" spans="1:20" ht="18.5" x14ac:dyDescent="0.35">
      <c r="A12" s="463" t="s">
        <v>204</v>
      </c>
      <c r="B12" s="463"/>
      <c r="C12" s="463"/>
      <c r="D12" s="463"/>
      <c r="E12" s="463"/>
      <c r="F12" s="463"/>
      <c r="G12" s="463"/>
      <c r="H12" s="463"/>
      <c r="I12" s="463"/>
      <c r="J12" s="463"/>
      <c r="K12" s="463"/>
      <c r="L12" s="93"/>
      <c r="M12" s="106"/>
      <c r="N12" s="106"/>
      <c r="O12" s="106"/>
      <c r="P12" s="106"/>
      <c r="Q12" s="106"/>
      <c r="R12" s="106"/>
      <c r="S12" s="106"/>
      <c r="T12" s="106"/>
    </row>
    <row r="13" spans="1:20" x14ac:dyDescent="0.35">
      <c r="A13" s="451" t="s">
        <v>89</v>
      </c>
      <c r="B13" s="451"/>
      <c r="C13" s="451"/>
      <c r="D13" s="451"/>
      <c r="E13" s="451"/>
      <c r="F13" s="451"/>
      <c r="G13" s="451"/>
      <c r="H13" s="451"/>
      <c r="I13" s="451"/>
      <c r="J13" s="451"/>
      <c r="K13" s="451"/>
      <c r="L13" s="122"/>
      <c r="M13" s="106"/>
      <c r="N13" s="106"/>
      <c r="O13" s="106"/>
      <c r="P13" s="106"/>
      <c r="Q13" s="106"/>
      <c r="R13" s="106"/>
      <c r="S13" s="106"/>
      <c r="T13" s="106"/>
    </row>
    <row r="14" spans="1:20" x14ac:dyDescent="0.35">
      <c r="A14" s="37">
        <v>1</v>
      </c>
      <c r="B14" s="452" t="s">
        <v>90</v>
      </c>
      <c r="C14" s="452"/>
      <c r="D14" s="452"/>
      <c r="E14" s="452"/>
      <c r="F14" s="452"/>
      <c r="G14" s="452"/>
      <c r="H14" s="452"/>
      <c r="I14" s="452"/>
      <c r="J14" s="452"/>
      <c r="K14" s="92">
        <f>'Dados do Licitante'!F12</f>
        <v>2283.36</v>
      </c>
      <c r="L14" s="99"/>
      <c r="M14" s="106"/>
      <c r="N14" s="106"/>
      <c r="O14" s="106"/>
      <c r="P14" s="106"/>
      <c r="Q14" s="106"/>
      <c r="R14" s="106"/>
      <c r="S14" s="106"/>
      <c r="T14" s="106"/>
    </row>
    <row r="15" spans="1:20" x14ac:dyDescent="0.35">
      <c r="A15" s="37">
        <v>2</v>
      </c>
      <c r="B15" s="452" t="s">
        <v>7</v>
      </c>
      <c r="C15" s="452"/>
      <c r="D15" s="452"/>
      <c r="E15" s="452"/>
      <c r="F15" s="452"/>
      <c r="G15" s="452"/>
      <c r="H15" s="452"/>
      <c r="I15" s="452"/>
      <c r="J15" s="452"/>
      <c r="K15" s="65"/>
      <c r="L15" s="100"/>
      <c r="M15" s="106"/>
      <c r="N15" s="106"/>
      <c r="O15" s="106"/>
      <c r="P15" s="106"/>
      <c r="Q15" s="106"/>
      <c r="R15" s="106"/>
      <c r="S15" s="106"/>
      <c r="T15" s="106"/>
    </row>
    <row r="16" spans="1:20" x14ac:dyDescent="0.35">
      <c r="A16" s="37">
        <v>3</v>
      </c>
      <c r="B16" s="452" t="s">
        <v>8</v>
      </c>
      <c r="C16" s="452"/>
      <c r="D16" s="452"/>
      <c r="E16" s="452"/>
      <c r="F16" s="452"/>
      <c r="G16" s="452"/>
      <c r="H16" s="452"/>
      <c r="I16" s="452"/>
      <c r="J16" s="452"/>
      <c r="K16" s="66">
        <f>'Dados do Licitante'!F16</f>
        <v>44682</v>
      </c>
      <c r="L16" s="123"/>
      <c r="M16" s="106"/>
      <c r="N16" s="106"/>
      <c r="O16" s="106"/>
      <c r="P16" s="106"/>
      <c r="Q16" s="106"/>
      <c r="R16" s="106"/>
      <c r="S16" s="106"/>
      <c r="T16" s="106"/>
    </row>
    <row r="17" spans="1:20" x14ac:dyDescent="0.35">
      <c r="A17" s="37">
        <v>4</v>
      </c>
      <c r="B17" s="452" t="s">
        <v>91</v>
      </c>
      <c r="C17" s="452"/>
      <c r="D17" s="452"/>
      <c r="E17" s="452"/>
      <c r="F17" s="452"/>
      <c r="G17" s="452"/>
      <c r="H17" s="452"/>
      <c r="I17" s="452"/>
      <c r="J17" s="452"/>
      <c r="K17" s="68" t="str">
        <f>'Dados do Licitante'!F18</f>
        <v>5143-25</v>
      </c>
      <c r="L17" s="123"/>
      <c r="M17" s="106"/>
      <c r="N17" s="106"/>
      <c r="O17" s="106"/>
      <c r="P17" s="106"/>
      <c r="Q17" s="106"/>
      <c r="R17" s="106"/>
      <c r="S17" s="106"/>
      <c r="T17" s="106"/>
    </row>
    <row r="18" spans="1:20" x14ac:dyDescent="0.35">
      <c r="A18" s="2"/>
      <c r="B18" s="62"/>
      <c r="C18" s="62"/>
      <c r="D18" s="62"/>
      <c r="E18" s="62"/>
      <c r="F18" s="62"/>
      <c r="G18" s="62"/>
      <c r="H18" s="62"/>
      <c r="I18" s="62"/>
      <c r="J18" s="62"/>
      <c r="K18" s="2"/>
      <c r="L18" s="93"/>
      <c r="M18" s="106"/>
      <c r="N18" s="106"/>
      <c r="O18" s="106"/>
      <c r="P18" s="106"/>
      <c r="Q18" s="106"/>
      <c r="R18" s="106"/>
      <c r="S18" s="106"/>
      <c r="T18" s="106"/>
    </row>
    <row r="19" spans="1:20" x14ac:dyDescent="0.35">
      <c r="A19" s="465" t="s">
        <v>92</v>
      </c>
      <c r="B19" s="465"/>
      <c r="C19" s="465"/>
      <c r="D19" s="465"/>
      <c r="E19" s="465"/>
      <c r="F19" s="465"/>
      <c r="G19" s="465"/>
      <c r="H19" s="465"/>
      <c r="I19" s="465"/>
      <c r="J19" s="465"/>
      <c r="K19" s="95"/>
      <c r="L19" s="125"/>
      <c r="M19" s="125"/>
      <c r="N19" s="125"/>
      <c r="O19" s="125"/>
      <c r="P19" s="125"/>
      <c r="Q19" s="125"/>
      <c r="R19" s="125"/>
      <c r="S19" s="125"/>
      <c r="T19" s="125"/>
    </row>
    <row r="20" spans="1:20" x14ac:dyDescent="0.35">
      <c r="A20" s="37" t="s">
        <v>57</v>
      </c>
      <c r="B20" s="452" t="s">
        <v>93</v>
      </c>
      <c r="C20" s="452"/>
      <c r="D20" s="452"/>
      <c r="E20" s="452"/>
      <c r="F20" s="452"/>
      <c r="G20" s="452"/>
      <c r="H20" s="452"/>
      <c r="I20" s="452"/>
      <c r="J20" s="452"/>
      <c r="K20" s="96">
        <f>$K$14</f>
        <v>2283.36</v>
      </c>
      <c r="L20" s="99"/>
      <c r="M20" s="99"/>
      <c r="N20" s="99"/>
      <c r="O20" s="99"/>
      <c r="P20" s="99"/>
      <c r="Q20" s="99"/>
      <c r="R20" s="99"/>
      <c r="S20" s="99"/>
      <c r="T20" s="99"/>
    </row>
    <row r="21" spans="1:20" x14ac:dyDescent="0.35">
      <c r="A21" s="37" t="s">
        <v>60</v>
      </c>
      <c r="B21" s="466" t="s">
        <v>94</v>
      </c>
      <c r="C21" s="467"/>
      <c r="D21" s="468"/>
      <c r="E21" s="466" t="s">
        <v>95</v>
      </c>
      <c r="F21" s="467"/>
      <c r="G21" s="468"/>
      <c r="H21" s="469" t="s">
        <v>96</v>
      </c>
      <c r="I21" s="470"/>
      <c r="J21" s="71">
        <v>2</v>
      </c>
      <c r="K21" s="96">
        <f>IF($J$21=1,K20*0.3,0)</f>
        <v>0</v>
      </c>
      <c r="L21" s="99"/>
      <c r="M21" s="99"/>
      <c r="N21" s="99"/>
      <c r="O21" s="99"/>
      <c r="P21" s="99"/>
      <c r="Q21" s="99"/>
      <c r="R21" s="99"/>
      <c r="S21" s="99"/>
      <c r="T21" s="99"/>
    </row>
    <row r="22" spans="1:20" x14ac:dyDescent="0.35">
      <c r="A22" s="37" t="s">
        <v>64</v>
      </c>
      <c r="B22" s="454" t="s">
        <v>97</v>
      </c>
      <c r="C22" s="454"/>
      <c r="D22" s="454"/>
      <c r="E22" s="454"/>
      <c r="F22" s="454"/>
      <c r="G22" s="454"/>
      <c r="H22" s="454"/>
      <c r="I22" s="454"/>
      <c r="J22" s="454"/>
      <c r="K22" s="96"/>
      <c r="L22" s="99"/>
      <c r="M22" s="100"/>
      <c r="N22" s="100"/>
      <c r="O22" s="100"/>
      <c r="P22" s="100"/>
      <c r="Q22" s="100"/>
      <c r="R22" s="100"/>
      <c r="S22" s="100"/>
      <c r="T22" s="100"/>
    </row>
    <row r="23" spans="1:20" x14ac:dyDescent="0.35">
      <c r="A23" s="37" t="s">
        <v>66</v>
      </c>
      <c r="B23" s="452" t="s">
        <v>98</v>
      </c>
      <c r="C23" s="452"/>
      <c r="D23" s="452"/>
      <c r="E23" s="452"/>
      <c r="F23" s="452"/>
      <c r="G23" s="452"/>
      <c r="H23" s="452"/>
      <c r="I23" s="452"/>
      <c r="J23" s="452"/>
      <c r="K23" s="96"/>
      <c r="L23" s="99"/>
      <c r="M23" s="100"/>
      <c r="N23" s="100"/>
      <c r="O23" s="100"/>
      <c r="P23" s="100"/>
      <c r="Q23" s="100"/>
      <c r="R23" s="100"/>
      <c r="S23" s="100"/>
      <c r="T23" s="100"/>
    </row>
    <row r="24" spans="1:20" x14ac:dyDescent="0.35">
      <c r="A24" s="37" t="s">
        <v>68</v>
      </c>
      <c r="B24" s="452" t="s">
        <v>99</v>
      </c>
      <c r="C24" s="452"/>
      <c r="D24" s="452"/>
      <c r="E24" s="452"/>
      <c r="F24" s="452"/>
      <c r="G24" s="452"/>
      <c r="H24" s="452"/>
      <c r="I24" s="452"/>
      <c r="J24" s="452"/>
      <c r="K24" s="96"/>
      <c r="L24" s="99"/>
      <c r="M24" s="100"/>
      <c r="N24" s="100"/>
      <c r="O24" s="100"/>
      <c r="P24" s="100"/>
      <c r="Q24" s="100"/>
      <c r="R24" s="100"/>
      <c r="S24" s="100"/>
      <c r="T24" s="100"/>
    </row>
    <row r="25" spans="1:20" x14ac:dyDescent="0.35">
      <c r="A25" s="37" t="s">
        <v>70</v>
      </c>
      <c r="B25" s="452" t="s">
        <v>53</v>
      </c>
      <c r="C25" s="452"/>
      <c r="D25" s="452"/>
      <c r="E25" s="452"/>
      <c r="F25" s="452"/>
      <c r="G25" s="452"/>
      <c r="H25" s="452"/>
      <c r="I25" s="452"/>
      <c r="J25" s="452"/>
      <c r="K25" s="96"/>
      <c r="L25" s="99"/>
      <c r="M25" s="100"/>
      <c r="N25" s="100"/>
      <c r="O25" s="100"/>
      <c r="P25" s="100"/>
      <c r="Q25" s="100"/>
      <c r="R25" s="100"/>
      <c r="S25" s="100"/>
      <c r="T25" s="100"/>
    </row>
    <row r="26" spans="1:20" x14ac:dyDescent="0.35">
      <c r="A26" s="464" t="s">
        <v>100</v>
      </c>
      <c r="B26" s="464"/>
      <c r="C26" s="464"/>
      <c r="D26" s="464"/>
      <c r="E26" s="464"/>
      <c r="F26" s="464"/>
      <c r="G26" s="464"/>
      <c r="H26" s="464"/>
      <c r="I26" s="464"/>
      <c r="J26" s="464"/>
      <c r="K26" s="97">
        <f>SUM(K20:K25)</f>
        <v>2283.36</v>
      </c>
      <c r="L26" s="101"/>
      <c r="M26" s="101"/>
      <c r="N26" s="101"/>
      <c r="O26" s="101"/>
      <c r="P26" s="101"/>
      <c r="Q26" s="101"/>
      <c r="R26" s="101"/>
      <c r="S26" s="101"/>
      <c r="T26" s="101"/>
    </row>
    <row r="27" spans="1:20" x14ac:dyDescent="0.35">
      <c r="A27" s="94"/>
      <c r="B27" s="94"/>
      <c r="C27" s="94"/>
      <c r="D27" s="94"/>
      <c r="E27" s="94"/>
      <c r="F27" s="94"/>
      <c r="G27" s="94"/>
      <c r="H27" s="94"/>
      <c r="I27" s="94"/>
      <c r="J27" s="94"/>
      <c r="K27" s="94"/>
    </row>
    <row r="28" spans="1:20" x14ac:dyDescent="0.35">
      <c r="A28" s="465" t="s">
        <v>101</v>
      </c>
      <c r="B28" s="465"/>
      <c r="C28" s="465"/>
      <c r="D28" s="465"/>
      <c r="E28" s="465"/>
      <c r="F28" s="465"/>
      <c r="G28" s="465"/>
      <c r="H28" s="465"/>
      <c r="I28" s="465"/>
      <c r="J28" s="465"/>
      <c r="K28" s="473"/>
      <c r="L28" s="125"/>
      <c r="M28" s="125"/>
      <c r="N28" s="125"/>
      <c r="O28" s="125"/>
      <c r="P28" s="125"/>
      <c r="Q28" s="125"/>
      <c r="R28" s="125"/>
      <c r="S28" s="125"/>
      <c r="T28" s="125"/>
    </row>
    <row r="29" spans="1:20" x14ac:dyDescent="0.35">
      <c r="A29" s="472" t="s">
        <v>102</v>
      </c>
      <c r="B29" s="472"/>
      <c r="C29" s="472"/>
      <c r="D29" s="472"/>
      <c r="E29" s="472"/>
      <c r="F29" s="472"/>
      <c r="G29" s="472"/>
      <c r="H29" s="472"/>
      <c r="I29" s="472"/>
      <c r="J29" s="472"/>
      <c r="K29" s="474"/>
      <c r="L29" s="125"/>
      <c r="M29" s="125"/>
      <c r="N29" s="125"/>
      <c r="O29" s="125"/>
      <c r="P29" s="125"/>
      <c r="Q29" s="125"/>
      <c r="R29" s="125"/>
      <c r="S29" s="125"/>
      <c r="T29" s="125"/>
    </row>
    <row r="30" spans="1:20" x14ac:dyDescent="0.35">
      <c r="A30" s="37" t="s">
        <v>57</v>
      </c>
      <c r="B30" s="476" t="s">
        <v>103</v>
      </c>
      <c r="C30" s="476"/>
      <c r="D30" s="476"/>
      <c r="E30" s="476"/>
      <c r="F30" s="476"/>
      <c r="G30" s="476"/>
      <c r="H30" s="476"/>
      <c r="I30" s="476"/>
      <c r="J30" s="73">
        <v>8.3299999999999999E-2</v>
      </c>
      <c r="K30" s="96">
        <f>TRUNC(K26*$J$30,2)</f>
        <v>190.2</v>
      </c>
      <c r="L30" s="99"/>
      <c r="M30" s="99"/>
      <c r="N30" s="99"/>
      <c r="O30" s="99"/>
      <c r="P30" s="99"/>
      <c r="Q30" s="99"/>
      <c r="R30" s="99"/>
      <c r="S30" s="99"/>
      <c r="T30" s="99"/>
    </row>
    <row r="31" spans="1:20" x14ac:dyDescent="0.35">
      <c r="A31" s="37" t="s">
        <v>60</v>
      </c>
      <c r="B31" s="454" t="s">
        <v>104</v>
      </c>
      <c r="C31" s="454"/>
      <c r="D31" s="454"/>
      <c r="E31" s="454"/>
      <c r="F31" s="454"/>
      <c r="G31" s="454"/>
      <c r="H31" s="454"/>
      <c r="I31" s="454"/>
      <c r="J31" s="73">
        <v>3.0300000000000001E-2</v>
      </c>
      <c r="K31" s="96">
        <f>TRUNC(K26*$J$31,2)</f>
        <v>69.180000000000007</v>
      </c>
      <c r="L31" s="99"/>
      <c r="M31" s="99"/>
      <c r="N31" s="99"/>
      <c r="O31" s="99"/>
      <c r="P31" s="99"/>
      <c r="Q31" s="99"/>
      <c r="R31" s="99"/>
      <c r="S31" s="99"/>
      <c r="T31" s="99"/>
    </row>
    <row r="32" spans="1:20" x14ac:dyDescent="0.35">
      <c r="A32" s="69"/>
      <c r="B32" s="477"/>
      <c r="C32" s="477"/>
      <c r="D32" s="477"/>
      <c r="E32" s="477"/>
      <c r="F32" s="477"/>
      <c r="G32" s="477"/>
      <c r="H32" s="477"/>
      <c r="I32" s="477"/>
      <c r="J32" s="74">
        <f>J30+J31</f>
        <v>0.11360000000000001</v>
      </c>
      <c r="K32" s="102">
        <f>TRUNC(K26*$J$32,2)</f>
        <v>259.38</v>
      </c>
      <c r="L32" s="101"/>
      <c r="M32" s="101"/>
      <c r="N32" s="101"/>
      <c r="O32" s="101"/>
      <c r="P32" s="101"/>
      <c r="Q32" s="101"/>
      <c r="R32" s="101"/>
      <c r="S32" s="101"/>
      <c r="T32" s="101"/>
    </row>
    <row r="33" spans="1:20" x14ac:dyDescent="0.35">
      <c r="A33" s="478"/>
      <c r="B33" s="478"/>
      <c r="C33" s="478"/>
      <c r="D33" s="478"/>
      <c r="E33" s="478"/>
      <c r="F33" s="478"/>
      <c r="G33" s="478"/>
      <c r="H33" s="478"/>
      <c r="I33" s="478"/>
      <c r="J33" s="478"/>
      <c r="K33" s="478"/>
      <c r="M33" s="106"/>
      <c r="N33" s="106"/>
      <c r="O33" s="106"/>
      <c r="P33" s="106"/>
      <c r="Q33" s="106"/>
      <c r="R33" s="106"/>
      <c r="S33" s="106"/>
      <c r="T33" s="106"/>
    </row>
    <row r="34" spans="1:20" ht="26" customHeight="1" x14ac:dyDescent="0.35">
      <c r="A34" s="479" t="s">
        <v>105</v>
      </c>
      <c r="B34" s="479"/>
      <c r="C34" s="479"/>
      <c r="D34" s="479"/>
      <c r="E34" s="479"/>
      <c r="F34" s="479"/>
      <c r="G34" s="479"/>
      <c r="H34" s="479"/>
      <c r="I34" s="479"/>
      <c r="J34" s="479"/>
      <c r="K34" s="103"/>
      <c r="L34" s="117"/>
      <c r="M34" s="117"/>
      <c r="N34" s="117"/>
      <c r="O34" s="117"/>
      <c r="P34" s="117"/>
      <c r="Q34" s="117"/>
      <c r="R34" s="117"/>
      <c r="S34" s="117"/>
      <c r="T34" s="117"/>
    </row>
    <row r="35" spans="1:20" x14ac:dyDescent="0.35">
      <c r="A35" s="480" t="s">
        <v>106</v>
      </c>
      <c r="B35" s="480"/>
      <c r="C35" s="480"/>
      <c r="D35" s="480"/>
      <c r="E35" s="480"/>
      <c r="F35" s="480"/>
      <c r="G35" s="480"/>
      <c r="H35" s="480"/>
      <c r="I35" s="480"/>
      <c r="J35" s="480"/>
      <c r="K35" s="104">
        <f>K26+K32</f>
        <v>2542.7400000000002</v>
      </c>
      <c r="L35" s="111"/>
      <c r="M35" s="111"/>
      <c r="N35" s="111"/>
      <c r="O35" s="111"/>
      <c r="P35" s="111"/>
      <c r="Q35" s="111"/>
      <c r="R35" s="111"/>
      <c r="S35" s="111"/>
      <c r="T35" s="111"/>
    </row>
    <row r="36" spans="1:20" x14ac:dyDescent="0.35">
      <c r="A36" s="475" t="s">
        <v>107</v>
      </c>
      <c r="B36" s="475"/>
      <c r="C36" s="475"/>
      <c r="D36" s="475"/>
      <c r="E36" s="475"/>
      <c r="F36" s="475"/>
      <c r="G36" s="475"/>
      <c r="H36" s="475"/>
      <c r="I36" s="475"/>
      <c r="J36" s="75">
        <f>SUM(J37:J44)</f>
        <v>0.3680000000000001</v>
      </c>
      <c r="K36" s="105">
        <f>SUM(K37:K44)</f>
        <v>935.68</v>
      </c>
      <c r="L36" s="99"/>
      <c r="M36" s="99"/>
      <c r="N36" s="99"/>
      <c r="O36" s="99"/>
      <c r="P36" s="99"/>
      <c r="Q36" s="99"/>
      <c r="R36" s="99"/>
      <c r="S36" s="99"/>
      <c r="T36" s="99"/>
    </row>
    <row r="37" spans="1:20" x14ac:dyDescent="0.35">
      <c r="A37" s="37" t="s">
        <v>57</v>
      </c>
      <c r="B37" s="452" t="s">
        <v>108</v>
      </c>
      <c r="C37" s="452"/>
      <c r="D37" s="452"/>
      <c r="E37" s="452"/>
      <c r="F37" s="452"/>
      <c r="G37" s="452"/>
      <c r="H37" s="452"/>
      <c r="I37" s="452"/>
      <c r="J37" s="76">
        <v>0.2</v>
      </c>
      <c r="K37" s="105">
        <f t="shared" ref="K37:K44" si="0">TRUNC(K$35*$J37,2)</f>
        <v>508.54</v>
      </c>
      <c r="L37" s="99"/>
      <c r="M37" s="99"/>
      <c r="N37" s="99"/>
      <c r="O37" s="99"/>
      <c r="P37" s="99"/>
      <c r="Q37" s="99"/>
      <c r="R37" s="99"/>
      <c r="S37" s="99"/>
      <c r="T37" s="99"/>
    </row>
    <row r="38" spans="1:20" x14ac:dyDescent="0.35">
      <c r="A38" s="37" t="s">
        <v>60</v>
      </c>
      <c r="B38" s="452" t="s">
        <v>109</v>
      </c>
      <c r="C38" s="452"/>
      <c r="D38" s="452"/>
      <c r="E38" s="452"/>
      <c r="F38" s="452"/>
      <c r="G38" s="452"/>
      <c r="H38" s="452"/>
      <c r="I38" s="452"/>
      <c r="J38" s="76">
        <v>1.4999999999999999E-2</v>
      </c>
      <c r="K38" s="105">
        <f t="shared" si="0"/>
        <v>38.14</v>
      </c>
      <c r="L38" s="99"/>
      <c r="M38" s="99"/>
      <c r="N38" s="99"/>
      <c r="O38" s="99"/>
      <c r="P38" s="99"/>
      <c r="Q38" s="99"/>
      <c r="R38" s="99"/>
      <c r="S38" s="99"/>
      <c r="T38" s="99"/>
    </row>
    <row r="39" spans="1:20" x14ac:dyDescent="0.35">
      <c r="A39" s="37" t="s">
        <v>64</v>
      </c>
      <c r="B39" s="452" t="s">
        <v>110</v>
      </c>
      <c r="C39" s="452"/>
      <c r="D39" s="452"/>
      <c r="E39" s="452"/>
      <c r="F39" s="452"/>
      <c r="G39" s="452"/>
      <c r="H39" s="452"/>
      <c r="I39" s="452"/>
      <c r="J39" s="76">
        <v>0.01</v>
      </c>
      <c r="K39" s="105">
        <f t="shared" si="0"/>
        <v>25.42</v>
      </c>
      <c r="L39" s="99"/>
      <c r="M39" s="99"/>
      <c r="N39" s="99"/>
      <c r="O39" s="99"/>
      <c r="P39" s="99"/>
      <c r="Q39" s="99"/>
      <c r="R39" s="99"/>
      <c r="S39" s="99"/>
      <c r="T39" s="99"/>
    </row>
    <row r="40" spans="1:20" x14ac:dyDescent="0.35">
      <c r="A40" s="37" t="s">
        <v>66</v>
      </c>
      <c r="B40" s="452" t="s">
        <v>111</v>
      </c>
      <c r="C40" s="452"/>
      <c r="D40" s="452"/>
      <c r="E40" s="452"/>
      <c r="F40" s="452"/>
      <c r="G40" s="452"/>
      <c r="H40" s="452"/>
      <c r="I40" s="452"/>
      <c r="J40" s="76">
        <v>2E-3</v>
      </c>
      <c r="K40" s="105">
        <f t="shared" si="0"/>
        <v>5.08</v>
      </c>
      <c r="L40" s="99"/>
      <c r="M40" s="99"/>
      <c r="N40" s="99"/>
      <c r="O40" s="99"/>
      <c r="P40" s="99"/>
      <c r="Q40" s="99"/>
      <c r="R40" s="99"/>
      <c r="S40" s="99"/>
      <c r="T40" s="99"/>
    </row>
    <row r="41" spans="1:20" x14ac:dyDescent="0.35">
      <c r="A41" s="37" t="s">
        <v>68</v>
      </c>
      <c r="B41" s="452" t="s">
        <v>112</v>
      </c>
      <c r="C41" s="452"/>
      <c r="D41" s="452"/>
      <c r="E41" s="452"/>
      <c r="F41" s="452"/>
      <c r="G41" s="452"/>
      <c r="H41" s="452"/>
      <c r="I41" s="452"/>
      <c r="J41" s="76">
        <v>2.5000000000000001E-2</v>
      </c>
      <c r="K41" s="105">
        <f t="shared" si="0"/>
        <v>63.56</v>
      </c>
      <c r="L41" s="99"/>
      <c r="M41" s="99"/>
      <c r="N41" s="99"/>
      <c r="O41" s="99"/>
      <c r="P41" s="99"/>
      <c r="Q41" s="99"/>
      <c r="R41" s="99"/>
      <c r="S41" s="99"/>
      <c r="T41" s="99"/>
    </row>
    <row r="42" spans="1:20" x14ac:dyDescent="0.35">
      <c r="A42" s="37" t="s">
        <v>70</v>
      </c>
      <c r="B42" s="452" t="s">
        <v>113</v>
      </c>
      <c r="C42" s="452"/>
      <c r="D42" s="452"/>
      <c r="E42" s="452"/>
      <c r="F42" s="452"/>
      <c r="G42" s="452"/>
      <c r="H42" s="452"/>
      <c r="I42" s="452"/>
      <c r="J42" s="76">
        <v>0.08</v>
      </c>
      <c r="K42" s="105">
        <f t="shared" si="0"/>
        <v>203.41</v>
      </c>
      <c r="L42" s="99"/>
      <c r="M42" s="99"/>
      <c r="N42" s="99"/>
      <c r="O42" s="99"/>
      <c r="P42" s="99"/>
      <c r="Q42" s="99"/>
      <c r="R42" s="99"/>
      <c r="S42" s="99"/>
      <c r="T42" s="99"/>
    </row>
    <row r="43" spans="1:20" x14ac:dyDescent="0.35">
      <c r="A43" s="37" t="s">
        <v>72</v>
      </c>
      <c r="B43" s="452" t="s">
        <v>114</v>
      </c>
      <c r="C43" s="452"/>
      <c r="D43" s="452"/>
      <c r="E43" s="452"/>
      <c r="F43" s="77">
        <f>'Dados do Licitante'!E22</f>
        <v>0.03</v>
      </c>
      <c r="G43" s="70" t="s">
        <v>11</v>
      </c>
      <c r="H43" s="481">
        <f>'Dados do Licitante'!G22</f>
        <v>1</v>
      </c>
      <c r="I43" s="482"/>
      <c r="J43" s="76">
        <f>ROUND(F43*H43,2)</f>
        <v>0.03</v>
      </c>
      <c r="K43" s="105">
        <f t="shared" si="0"/>
        <v>76.28</v>
      </c>
      <c r="L43" s="99"/>
      <c r="M43" s="99"/>
      <c r="N43" s="99"/>
      <c r="O43" s="99"/>
      <c r="P43" s="99"/>
      <c r="Q43" s="99"/>
      <c r="R43" s="99"/>
      <c r="S43" s="99"/>
      <c r="T43" s="99"/>
    </row>
    <row r="44" spans="1:20" x14ac:dyDescent="0.35">
      <c r="A44" s="91" t="s">
        <v>115</v>
      </c>
      <c r="B44" s="126" t="s">
        <v>116</v>
      </c>
      <c r="C44" s="483"/>
      <c r="D44" s="483"/>
      <c r="E44" s="483"/>
      <c r="F44" s="483"/>
      <c r="G44" s="483"/>
      <c r="H44" s="483"/>
      <c r="I44" s="483"/>
      <c r="J44" s="127">
        <v>6.0000000000000001E-3</v>
      </c>
      <c r="K44" s="128">
        <f t="shared" si="0"/>
        <v>15.25</v>
      </c>
      <c r="L44" s="99"/>
      <c r="M44" s="99"/>
      <c r="N44" s="99"/>
      <c r="O44" s="99"/>
      <c r="P44" s="99"/>
      <c r="Q44" s="99"/>
      <c r="R44" s="99"/>
      <c r="S44" s="99"/>
      <c r="T44" s="99"/>
    </row>
    <row r="45" spans="1:20" x14ac:dyDescent="0.35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</row>
    <row r="46" spans="1:20" x14ac:dyDescent="0.35">
      <c r="A46" s="484" t="s">
        <v>117</v>
      </c>
      <c r="B46" s="484"/>
      <c r="C46" s="484"/>
      <c r="D46" s="484"/>
      <c r="E46" s="484"/>
      <c r="F46" s="484"/>
      <c r="G46" s="484"/>
      <c r="H46" s="484"/>
      <c r="I46" s="484"/>
      <c r="J46" s="484"/>
      <c r="K46" s="129"/>
      <c r="L46" s="117"/>
      <c r="M46" s="117"/>
      <c r="N46" s="117"/>
      <c r="O46" s="117"/>
      <c r="P46" s="117"/>
      <c r="Q46" s="117"/>
      <c r="R46" s="117"/>
      <c r="S46" s="117"/>
      <c r="T46" s="117"/>
    </row>
    <row r="47" spans="1:20" x14ac:dyDescent="0.35">
      <c r="A47" s="37" t="s">
        <v>57</v>
      </c>
      <c r="B47" s="454" t="s">
        <v>24</v>
      </c>
      <c r="C47" s="454"/>
      <c r="D47" s="454"/>
      <c r="E47" s="454"/>
      <c r="F47" s="454"/>
      <c r="G47" s="454"/>
      <c r="H47" s="454"/>
      <c r="I47" s="454"/>
      <c r="J47" s="454"/>
      <c r="K47" s="96">
        <f>'Dados do Licitante'!J36</f>
        <v>188.02096</v>
      </c>
      <c r="L47" s="99"/>
      <c r="M47" s="109"/>
      <c r="N47" s="109"/>
      <c r="O47" s="109"/>
      <c r="P47" s="109"/>
      <c r="Q47" s="109"/>
      <c r="R47" s="109"/>
      <c r="S47" s="109"/>
      <c r="T47" s="109"/>
    </row>
    <row r="48" spans="1:20" x14ac:dyDescent="0.35">
      <c r="A48" s="37" t="s">
        <v>60</v>
      </c>
      <c r="B48" s="454" t="s">
        <v>33</v>
      </c>
      <c r="C48" s="454"/>
      <c r="D48" s="454"/>
      <c r="E48" s="454"/>
      <c r="F48" s="454"/>
      <c r="G48" s="454"/>
      <c r="H48" s="454"/>
      <c r="I48" s="454"/>
      <c r="J48" s="454"/>
      <c r="K48" s="96">
        <f>'Dados do Licitante'!G46</f>
        <v>568.83013199999994</v>
      </c>
      <c r="L48" s="99"/>
      <c r="M48" s="99"/>
      <c r="N48" s="99"/>
      <c r="O48" s="99"/>
      <c r="P48" s="99"/>
      <c r="Q48" s="99"/>
      <c r="R48" s="99"/>
      <c r="S48" s="99"/>
      <c r="T48" s="99"/>
    </row>
    <row r="49" spans="1:20" x14ac:dyDescent="0.35">
      <c r="A49" s="37" t="s">
        <v>64</v>
      </c>
      <c r="B49" s="454" t="s">
        <v>218</v>
      </c>
      <c r="C49" s="454"/>
      <c r="D49" s="454"/>
      <c r="E49" s="454"/>
      <c r="F49" s="454"/>
      <c r="G49" s="454"/>
      <c r="H49" s="454"/>
      <c r="I49" s="454"/>
      <c r="J49" s="454"/>
      <c r="K49" s="96">
        <f>'Dados do Licitante'!G50</f>
        <v>22.833600000000001</v>
      </c>
      <c r="L49" s="99"/>
      <c r="M49" s="99"/>
      <c r="N49" s="99"/>
      <c r="O49" s="99"/>
      <c r="P49" s="99"/>
      <c r="Q49" s="99"/>
      <c r="R49" s="99"/>
      <c r="S49" s="99"/>
      <c r="T49" s="99"/>
    </row>
    <row r="50" spans="1:20" x14ac:dyDescent="0.35">
      <c r="A50" s="37" t="s">
        <v>66</v>
      </c>
      <c r="B50" s="454" t="s">
        <v>41</v>
      </c>
      <c r="C50" s="454"/>
      <c r="D50" s="454"/>
      <c r="E50" s="454"/>
      <c r="F50" s="454"/>
      <c r="G50" s="454"/>
      <c r="H50" s="454"/>
      <c r="I50" s="454"/>
      <c r="J50" s="454"/>
      <c r="K50" s="96">
        <f>'Dados do Licitante'!E52</f>
        <v>0</v>
      </c>
      <c r="L50" s="99"/>
      <c r="M50" s="99"/>
      <c r="N50" s="99"/>
      <c r="O50" s="99"/>
      <c r="P50" s="99"/>
      <c r="Q50" s="99"/>
      <c r="R50" s="99"/>
      <c r="S50" s="99"/>
      <c r="T50" s="99"/>
    </row>
    <row r="51" spans="1:20" x14ac:dyDescent="0.35">
      <c r="A51" s="37" t="s">
        <v>68</v>
      </c>
      <c r="B51" s="454" t="s">
        <v>219</v>
      </c>
      <c r="C51" s="454"/>
      <c r="D51" s="454"/>
      <c r="E51" s="454"/>
      <c r="F51" s="454"/>
      <c r="G51" s="454"/>
      <c r="H51" s="454"/>
      <c r="I51" s="454"/>
      <c r="J51" s="454"/>
      <c r="K51" s="96">
        <f>'Dados do Licitante'!F56</f>
        <v>0</v>
      </c>
      <c r="L51" s="99"/>
      <c r="M51" s="99"/>
      <c r="N51" s="99"/>
      <c r="O51" s="99"/>
      <c r="P51" s="99"/>
      <c r="Q51" s="99"/>
      <c r="R51" s="99"/>
      <c r="S51" s="99"/>
      <c r="T51" s="99"/>
    </row>
    <row r="52" spans="1:20" x14ac:dyDescent="0.35">
      <c r="A52" s="37" t="s">
        <v>70</v>
      </c>
      <c r="B52" s="454" t="s">
        <v>220</v>
      </c>
      <c r="C52" s="454"/>
      <c r="D52" s="454"/>
      <c r="E52" s="454"/>
      <c r="F52" s="454"/>
      <c r="G52" s="454"/>
      <c r="H52" s="454"/>
      <c r="I52" s="454"/>
      <c r="J52" s="454"/>
      <c r="K52" s="96">
        <f>'Dados do Licitante'!G60</f>
        <v>10.33</v>
      </c>
      <c r="L52" s="99"/>
      <c r="M52" s="99"/>
      <c r="N52" s="99"/>
      <c r="O52" s="99"/>
      <c r="P52" s="99"/>
      <c r="Q52" s="99"/>
      <c r="R52" s="99"/>
      <c r="S52" s="99"/>
      <c r="T52" s="99"/>
    </row>
    <row r="53" spans="1:20" x14ac:dyDescent="0.35">
      <c r="A53" s="37" t="s">
        <v>72</v>
      </c>
      <c r="B53" s="454" t="s">
        <v>221</v>
      </c>
      <c r="C53" s="454"/>
      <c r="D53" s="454"/>
      <c r="E53" s="454"/>
      <c r="F53" s="454"/>
      <c r="G53" s="454"/>
      <c r="H53" s="454"/>
      <c r="I53" s="454"/>
      <c r="J53" s="454"/>
      <c r="K53" s="96">
        <f>'Dados do Licitante'!E62</f>
        <v>0</v>
      </c>
      <c r="L53" s="99"/>
      <c r="M53" s="99"/>
      <c r="N53" s="99"/>
      <c r="O53" s="99"/>
      <c r="P53" s="99"/>
      <c r="Q53" s="99"/>
      <c r="R53" s="99"/>
      <c r="S53" s="99"/>
      <c r="T53" s="99"/>
    </row>
    <row r="54" spans="1:20" x14ac:dyDescent="0.35">
      <c r="A54" s="37" t="s">
        <v>115</v>
      </c>
      <c r="B54" s="454" t="s">
        <v>222</v>
      </c>
      <c r="C54" s="454"/>
      <c r="D54" s="454"/>
      <c r="E54" s="454"/>
      <c r="F54" s="454"/>
      <c r="G54" s="454"/>
      <c r="H54" s="454"/>
      <c r="I54" s="454"/>
      <c r="J54" s="454"/>
      <c r="K54" s="96">
        <f>'Dados do Licitante'!E64</f>
        <v>0</v>
      </c>
      <c r="L54" s="99"/>
      <c r="M54" s="99"/>
      <c r="N54" s="99"/>
      <c r="O54" s="99"/>
      <c r="P54" s="99"/>
      <c r="Q54" s="99"/>
      <c r="R54" s="99"/>
      <c r="S54" s="99"/>
      <c r="T54" s="99"/>
    </row>
    <row r="55" spans="1:20" x14ac:dyDescent="0.35">
      <c r="A55" s="37" t="s">
        <v>118</v>
      </c>
      <c r="B55" s="454" t="s">
        <v>223</v>
      </c>
      <c r="C55" s="454"/>
      <c r="D55" s="454"/>
      <c r="E55" s="454"/>
      <c r="F55" s="454"/>
      <c r="G55" s="454"/>
      <c r="H55" s="454"/>
      <c r="I55" s="454"/>
      <c r="J55" s="454"/>
      <c r="K55" s="96">
        <f>'Dados do Licitante'!E66</f>
        <v>0</v>
      </c>
      <c r="L55" s="99"/>
      <c r="M55" s="99"/>
      <c r="N55" s="99"/>
      <c r="O55" s="99"/>
      <c r="P55" s="99"/>
      <c r="Q55" s="99"/>
      <c r="R55" s="99"/>
      <c r="S55" s="99"/>
      <c r="T55" s="99"/>
    </row>
    <row r="56" spans="1:20" x14ac:dyDescent="0.35">
      <c r="A56" s="37"/>
      <c r="B56" s="450" t="s">
        <v>119</v>
      </c>
      <c r="C56" s="450"/>
      <c r="D56" s="450"/>
      <c r="E56" s="450"/>
      <c r="F56" s="450"/>
      <c r="G56" s="450"/>
      <c r="H56" s="450"/>
      <c r="I56" s="450"/>
      <c r="J56" s="450"/>
      <c r="K56" s="102">
        <f>SUM(K47:K55)</f>
        <v>790.01469199999997</v>
      </c>
      <c r="L56" s="101"/>
      <c r="M56" s="101"/>
      <c r="N56" s="101"/>
      <c r="O56" s="101"/>
      <c r="P56" s="101"/>
      <c r="Q56" s="101"/>
      <c r="R56" s="101"/>
      <c r="S56" s="101"/>
      <c r="T56" s="101"/>
    </row>
    <row r="57" spans="1:20" x14ac:dyDescent="0.35">
      <c r="A57" s="478"/>
      <c r="B57" s="478"/>
      <c r="C57" s="478"/>
      <c r="D57" s="478"/>
      <c r="E57" s="478"/>
      <c r="F57" s="478"/>
      <c r="G57" s="478"/>
      <c r="H57" s="478"/>
      <c r="I57" s="478"/>
      <c r="J57" s="478"/>
      <c r="K57" s="478"/>
      <c r="M57" s="106"/>
      <c r="N57" s="106"/>
      <c r="O57" s="106"/>
      <c r="P57" s="106"/>
      <c r="Q57" s="106"/>
      <c r="R57" s="106"/>
      <c r="S57" s="106"/>
      <c r="T57" s="106"/>
    </row>
    <row r="58" spans="1:20" x14ac:dyDescent="0.35">
      <c r="A58" s="465" t="s">
        <v>120</v>
      </c>
      <c r="B58" s="465"/>
      <c r="C58" s="465"/>
      <c r="D58" s="465"/>
      <c r="E58" s="465"/>
      <c r="F58" s="465"/>
      <c r="G58" s="465"/>
      <c r="H58" s="465"/>
      <c r="I58" s="465"/>
      <c r="J58" s="465"/>
      <c r="K58" s="103"/>
      <c r="L58" s="117"/>
      <c r="M58" s="117"/>
      <c r="N58" s="117"/>
      <c r="O58" s="117"/>
      <c r="P58" s="117"/>
      <c r="Q58" s="117"/>
      <c r="R58" s="117"/>
      <c r="S58" s="117"/>
      <c r="T58" s="117"/>
    </row>
    <row r="59" spans="1:20" x14ac:dyDescent="0.35">
      <c r="A59" s="37" t="s">
        <v>121</v>
      </c>
      <c r="B59" s="454" t="s">
        <v>122</v>
      </c>
      <c r="C59" s="454"/>
      <c r="D59" s="454"/>
      <c r="E59" s="454"/>
      <c r="F59" s="454"/>
      <c r="G59" s="454"/>
      <c r="H59" s="454"/>
      <c r="I59" s="454"/>
      <c r="J59" s="73">
        <f>J32</f>
        <v>0.11360000000000001</v>
      </c>
      <c r="K59" s="96">
        <f>K32</f>
        <v>259.38</v>
      </c>
      <c r="L59" s="99"/>
      <c r="M59" s="99"/>
      <c r="N59" s="99"/>
      <c r="O59" s="99"/>
      <c r="P59" s="99"/>
      <c r="Q59" s="99"/>
      <c r="R59" s="99"/>
      <c r="S59" s="99"/>
      <c r="T59" s="99"/>
    </row>
    <row r="60" spans="1:20" x14ac:dyDescent="0.35">
      <c r="A60" s="37" t="s">
        <v>123</v>
      </c>
      <c r="B60" s="454" t="s">
        <v>124</v>
      </c>
      <c r="C60" s="454"/>
      <c r="D60" s="454"/>
      <c r="E60" s="454"/>
      <c r="F60" s="454"/>
      <c r="G60" s="454"/>
      <c r="H60" s="454"/>
      <c r="I60" s="454"/>
      <c r="J60" s="73">
        <f>J36</f>
        <v>0.3680000000000001</v>
      </c>
      <c r="K60" s="96">
        <f>K36</f>
        <v>935.68</v>
      </c>
      <c r="L60" s="99"/>
      <c r="M60" s="99"/>
      <c r="N60" s="99"/>
      <c r="O60" s="99"/>
      <c r="P60" s="99"/>
      <c r="Q60" s="99"/>
      <c r="R60" s="99"/>
      <c r="S60" s="99"/>
      <c r="T60" s="99"/>
    </row>
    <row r="61" spans="1:20" x14ac:dyDescent="0.35">
      <c r="A61" s="37" t="s">
        <v>125</v>
      </c>
      <c r="B61" s="454" t="s">
        <v>126</v>
      </c>
      <c r="C61" s="454"/>
      <c r="D61" s="454"/>
      <c r="E61" s="454"/>
      <c r="F61" s="454"/>
      <c r="G61" s="454"/>
      <c r="H61" s="454"/>
      <c r="I61" s="454"/>
      <c r="J61" s="454"/>
      <c r="K61" s="96">
        <f>K56</f>
        <v>790.01469199999997</v>
      </c>
      <c r="L61" s="99"/>
      <c r="M61" s="99"/>
      <c r="N61" s="99"/>
      <c r="O61" s="99"/>
      <c r="P61" s="99"/>
      <c r="Q61" s="99"/>
      <c r="R61" s="99"/>
      <c r="S61" s="99"/>
      <c r="T61" s="99"/>
    </row>
    <row r="62" spans="1:20" x14ac:dyDescent="0.35">
      <c r="A62" s="72"/>
      <c r="B62" s="464" t="s">
        <v>119</v>
      </c>
      <c r="C62" s="464"/>
      <c r="D62" s="464"/>
      <c r="E62" s="464"/>
      <c r="F62" s="464"/>
      <c r="G62" s="464"/>
      <c r="H62" s="464"/>
      <c r="I62" s="464"/>
      <c r="J62" s="464"/>
      <c r="K62" s="97">
        <f>K59+K60+K61</f>
        <v>1985.0746919999999</v>
      </c>
      <c r="L62" s="101"/>
      <c r="M62" s="101"/>
      <c r="N62" s="101"/>
      <c r="O62" s="101"/>
      <c r="P62" s="101"/>
      <c r="Q62" s="101"/>
      <c r="R62" s="101"/>
      <c r="S62" s="101"/>
      <c r="T62" s="101"/>
    </row>
    <row r="63" spans="1:20" x14ac:dyDescent="0.35">
      <c r="A63" s="478"/>
      <c r="B63" s="478"/>
      <c r="C63" s="478"/>
      <c r="D63" s="478"/>
      <c r="E63" s="478"/>
      <c r="F63" s="478"/>
      <c r="G63" s="478"/>
      <c r="H63" s="478"/>
      <c r="I63" s="478"/>
      <c r="J63" s="478"/>
      <c r="K63" s="478"/>
      <c r="M63" s="122"/>
      <c r="N63" s="122"/>
      <c r="O63" s="122"/>
      <c r="P63" s="122"/>
      <c r="Q63" s="122"/>
      <c r="R63" s="122"/>
      <c r="S63" s="122"/>
      <c r="T63" s="122"/>
    </row>
    <row r="64" spans="1:20" x14ac:dyDescent="0.35">
      <c r="A64" s="479" t="s">
        <v>127</v>
      </c>
      <c r="B64" s="479"/>
      <c r="C64" s="479"/>
      <c r="D64" s="479"/>
      <c r="E64" s="479"/>
      <c r="F64" s="479"/>
      <c r="G64" s="479"/>
      <c r="H64" s="479"/>
      <c r="I64" s="479"/>
      <c r="J64" s="479"/>
      <c r="K64" s="103"/>
      <c r="L64" s="117"/>
      <c r="M64" s="117"/>
      <c r="N64" s="117"/>
      <c r="O64" s="117"/>
      <c r="P64" s="117"/>
      <c r="Q64" s="117"/>
      <c r="R64" s="117"/>
      <c r="S64" s="117"/>
      <c r="T64" s="117"/>
    </row>
    <row r="65" spans="1:20" x14ac:dyDescent="0.35">
      <c r="A65" s="486" t="s">
        <v>128</v>
      </c>
      <c r="B65" s="486"/>
      <c r="C65" s="486"/>
      <c r="D65" s="486"/>
      <c r="E65" s="486"/>
      <c r="F65" s="486"/>
      <c r="G65" s="486"/>
      <c r="H65" s="486"/>
      <c r="I65" s="486"/>
      <c r="J65" s="486"/>
      <c r="K65" s="110">
        <f>K35</f>
        <v>2542.7400000000002</v>
      </c>
      <c r="L65" s="111"/>
      <c r="M65" s="111"/>
      <c r="N65" s="111"/>
      <c r="O65" s="111"/>
      <c r="P65" s="111"/>
      <c r="Q65" s="111"/>
      <c r="R65" s="111"/>
      <c r="S65" s="111"/>
      <c r="T65" s="111"/>
    </row>
    <row r="66" spans="1:20" x14ac:dyDescent="0.35">
      <c r="A66" s="37" t="s">
        <v>57</v>
      </c>
      <c r="B66" s="490" t="s">
        <v>129</v>
      </c>
      <c r="C66" s="490"/>
      <c r="D66" s="79">
        <v>30</v>
      </c>
      <c r="E66" s="80" t="s">
        <v>130</v>
      </c>
      <c r="F66" s="491" t="s">
        <v>131</v>
      </c>
      <c r="G66" s="492"/>
      <c r="H66" s="493">
        <f>'Dados do Licitante'!G69</f>
        <v>5.5500000000000001E-2</v>
      </c>
      <c r="I66" s="494"/>
      <c r="J66" s="81">
        <f>D66/360*H66</f>
        <v>4.6249999999999998E-3</v>
      </c>
      <c r="K66" s="96">
        <f>TRUNC(K$65*$J66,2)</f>
        <v>11.76</v>
      </c>
      <c r="L66" s="99"/>
      <c r="M66" s="99"/>
      <c r="N66" s="99"/>
      <c r="O66" s="99"/>
      <c r="P66" s="99"/>
      <c r="Q66" s="99"/>
      <c r="R66" s="99"/>
      <c r="S66" s="99"/>
      <c r="T66" s="99"/>
    </row>
    <row r="67" spans="1:20" x14ac:dyDescent="0.35">
      <c r="A67" s="37" t="s">
        <v>60</v>
      </c>
      <c r="B67" s="495" t="s">
        <v>132</v>
      </c>
      <c r="C67" s="495"/>
      <c r="D67" s="495"/>
      <c r="E67" s="495"/>
      <c r="F67" s="495"/>
      <c r="G67" s="495"/>
      <c r="H67" s="495"/>
      <c r="I67" s="495"/>
      <c r="J67" s="81">
        <f>J42*J66</f>
        <v>3.6999999999999999E-4</v>
      </c>
      <c r="K67" s="96">
        <f>TRUNC(K$65*$J67,2)</f>
        <v>0.94</v>
      </c>
      <c r="L67" s="99"/>
      <c r="M67" s="99"/>
      <c r="N67" s="99"/>
      <c r="O67" s="99"/>
      <c r="P67" s="99"/>
      <c r="Q67" s="99"/>
      <c r="R67" s="99"/>
      <c r="S67" s="99"/>
      <c r="T67" s="99"/>
    </row>
    <row r="68" spans="1:20" x14ac:dyDescent="0.35">
      <c r="A68" s="37" t="s">
        <v>64</v>
      </c>
      <c r="B68" s="454" t="s">
        <v>133</v>
      </c>
      <c r="C68" s="454"/>
      <c r="D68" s="454"/>
      <c r="E68" s="454"/>
      <c r="F68" s="496" t="s">
        <v>131</v>
      </c>
      <c r="G68" s="496"/>
      <c r="H68" s="497">
        <f>'Dados do Licitante'!G70</f>
        <v>0.94450000000000001</v>
      </c>
      <c r="I68" s="498"/>
      <c r="J68" s="82">
        <f>7/30/K9*H68</f>
        <v>1.1019166666666667E-2</v>
      </c>
      <c r="K68" s="96">
        <f>TRUNC(K$65*$J68,2)</f>
        <v>28.01</v>
      </c>
      <c r="L68" s="99"/>
      <c r="M68" s="99"/>
      <c r="N68" s="99"/>
      <c r="O68" s="99"/>
      <c r="P68" s="99"/>
      <c r="Q68" s="99"/>
      <c r="R68" s="99"/>
      <c r="S68" s="99"/>
      <c r="T68" s="99"/>
    </row>
    <row r="69" spans="1:20" x14ac:dyDescent="0.35">
      <c r="A69" s="37" t="s">
        <v>66</v>
      </c>
      <c r="B69" s="485" t="s">
        <v>134</v>
      </c>
      <c r="C69" s="485"/>
      <c r="D69" s="485"/>
      <c r="E69" s="485"/>
      <c r="F69" s="485"/>
      <c r="G69" s="485"/>
      <c r="H69" s="485"/>
      <c r="I69" s="485"/>
      <c r="J69" s="81">
        <f>J68*J36</f>
        <v>4.0550533333333343E-3</v>
      </c>
      <c r="K69" s="96">
        <f>TRUNC(K$65*$J69,2)</f>
        <v>10.31</v>
      </c>
      <c r="L69" s="99"/>
      <c r="M69" s="99"/>
      <c r="N69" s="99"/>
      <c r="O69" s="99"/>
      <c r="P69" s="99"/>
      <c r="Q69" s="99"/>
      <c r="R69" s="99"/>
      <c r="S69" s="99"/>
      <c r="T69" s="99"/>
    </row>
    <row r="70" spans="1:20" x14ac:dyDescent="0.35">
      <c r="A70" s="486" t="s">
        <v>135</v>
      </c>
      <c r="B70" s="487"/>
      <c r="C70" s="487"/>
      <c r="D70" s="487"/>
      <c r="E70" s="487"/>
      <c r="F70" s="487"/>
      <c r="G70" s="487"/>
      <c r="H70" s="487"/>
      <c r="I70" s="487"/>
      <c r="J70" s="488"/>
      <c r="K70" s="110">
        <f>K26</f>
        <v>2283.36</v>
      </c>
      <c r="L70" s="111"/>
      <c r="M70" s="111"/>
      <c r="N70" s="111"/>
      <c r="O70" s="111"/>
      <c r="P70" s="111"/>
      <c r="Q70" s="111"/>
      <c r="R70" s="111"/>
      <c r="S70" s="111"/>
      <c r="T70" s="111"/>
    </row>
    <row r="71" spans="1:20" x14ac:dyDescent="0.35">
      <c r="A71" s="37" t="s">
        <v>68</v>
      </c>
      <c r="B71" s="454" t="s">
        <v>136</v>
      </c>
      <c r="C71" s="454"/>
      <c r="D71" s="454"/>
      <c r="E71" s="454"/>
      <c r="F71" s="454"/>
      <c r="G71" s="454"/>
      <c r="H71" s="454"/>
      <c r="I71" s="454"/>
      <c r="J71" s="73">
        <v>0.04</v>
      </c>
      <c r="K71" s="96">
        <f>TRUNC(K70*$J71,2)</f>
        <v>91.33</v>
      </c>
      <c r="L71" s="99"/>
      <c r="M71" s="99"/>
      <c r="N71" s="99"/>
      <c r="O71" s="99"/>
      <c r="P71" s="99"/>
      <c r="Q71" s="99"/>
      <c r="R71" s="99"/>
      <c r="S71" s="99"/>
      <c r="T71" s="99"/>
    </row>
    <row r="72" spans="1:20" x14ac:dyDescent="0.35">
      <c r="A72" s="464" t="s">
        <v>119</v>
      </c>
      <c r="B72" s="464"/>
      <c r="C72" s="464"/>
      <c r="D72" s="464"/>
      <c r="E72" s="464"/>
      <c r="F72" s="464"/>
      <c r="G72" s="464"/>
      <c r="H72" s="464"/>
      <c r="I72" s="464"/>
      <c r="J72" s="83"/>
      <c r="K72" s="97">
        <f>K66+K67+K68+K69+K71</f>
        <v>142.35</v>
      </c>
      <c r="L72" s="101"/>
      <c r="M72" s="101"/>
      <c r="N72" s="101"/>
      <c r="O72" s="101"/>
      <c r="P72" s="101"/>
      <c r="Q72" s="101"/>
      <c r="R72" s="101"/>
      <c r="S72" s="101"/>
      <c r="T72" s="101"/>
    </row>
    <row r="73" spans="1:20" x14ac:dyDescent="0.35">
      <c r="A73" s="478"/>
      <c r="B73" s="478"/>
      <c r="C73" s="478"/>
      <c r="D73" s="478"/>
      <c r="E73" s="478"/>
      <c r="F73" s="478"/>
      <c r="G73" s="478"/>
      <c r="H73" s="478"/>
      <c r="I73" s="478"/>
      <c r="J73" s="478"/>
      <c r="K73" s="478"/>
      <c r="M73" s="106"/>
      <c r="N73" s="106"/>
      <c r="O73" s="106"/>
      <c r="P73" s="106"/>
      <c r="Q73" s="106"/>
      <c r="R73" s="106"/>
      <c r="S73" s="106"/>
      <c r="T73" s="106"/>
    </row>
    <row r="74" spans="1:20" x14ac:dyDescent="0.35">
      <c r="A74" s="465" t="s">
        <v>137</v>
      </c>
      <c r="B74" s="465"/>
      <c r="C74" s="465"/>
      <c r="D74" s="465"/>
      <c r="E74" s="465"/>
      <c r="F74" s="465"/>
      <c r="G74" s="465"/>
      <c r="H74" s="465"/>
      <c r="I74" s="465"/>
      <c r="J74" s="465"/>
      <c r="K74" s="489"/>
      <c r="L74" s="117"/>
      <c r="M74" s="117"/>
      <c r="N74" s="117"/>
      <c r="O74" s="117"/>
      <c r="P74" s="117"/>
      <c r="Q74" s="117"/>
      <c r="R74" s="117"/>
      <c r="S74" s="117"/>
      <c r="T74" s="117"/>
    </row>
    <row r="75" spans="1:20" x14ac:dyDescent="0.35">
      <c r="A75" s="465" t="s">
        <v>138</v>
      </c>
      <c r="B75" s="465"/>
      <c r="C75" s="465"/>
      <c r="D75" s="465"/>
      <c r="E75" s="465"/>
      <c r="F75" s="465"/>
      <c r="G75" s="465"/>
      <c r="H75" s="465"/>
      <c r="I75" s="465"/>
      <c r="J75" s="465"/>
      <c r="K75" s="489"/>
      <c r="L75" s="117"/>
      <c r="M75" s="117"/>
      <c r="N75" s="117"/>
      <c r="O75" s="117"/>
      <c r="P75" s="117"/>
      <c r="Q75" s="117"/>
      <c r="R75" s="117"/>
      <c r="S75" s="117"/>
      <c r="T75" s="117"/>
    </row>
    <row r="76" spans="1:20" x14ac:dyDescent="0.35">
      <c r="A76" s="501" t="s">
        <v>139</v>
      </c>
      <c r="B76" s="487"/>
      <c r="C76" s="487"/>
      <c r="D76" s="487"/>
      <c r="E76" s="487"/>
      <c r="F76" s="487"/>
      <c r="G76" s="487"/>
      <c r="H76" s="487"/>
      <c r="I76" s="487"/>
      <c r="J76" s="488"/>
      <c r="K76" s="110">
        <f>K26+K36</f>
        <v>3219.04</v>
      </c>
      <c r="L76" s="111"/>
      <c r="M76" s="111"/>
      <c r="N76" s="111"/>
      <c r="O76" s="111"/>
      <c r="P76" s="111"/>
      <c r="Q76" s="111"/>
      <c r="R76" s="111"/>
      <c r="S76" s="111"/>
      <c r="T76" s="111"/>
    </row>
    <row r="77" spans="1:20" x14ac:dyDescent="0.35">
      <c r="A77" s="37" t="s">
        <v>57</v>
      </c>
      <c r="B77" s="454" t="s">
        <v>140</v>
      </c>
      <c r="C77" s="454"/>
      <c r="D77" s="454"/>
      <c r="E77" s="454"/>
      <c r="F77" s="454"/>
      <c r="G77" s="454"/>
      <c r="H77" s="454"/>
      <c r="I77" s="454"/>
      <c r="J77" s="73">
        <v>9.0899999999999995E-2</v>
      </c>
      <c r="K77" s="96">
        <f>TRUNC(K76*$J77,2)</f>
        <v>292.61</v>
      </c>
      <c r="L77" s="99"/>
      <c r="M77" s="99"/>
      <c r="N77" s="99"/>
      <c r="O77" s="99"/>
      <c r="P77" s="99"/>
      <c r="Q77" s="99"/>
      <c r="R77" s="99"/>
      <c r="S77" s="99"/>
      <c r="T77" s="99"/>
    </row>
    <row r="78" spans="1:20" x14ac:dyDescent="0.35">
      <c r="A78" s="486" t="s">
        <v>141</v>
      </c>
      <c r="B78" s="486"/>
      <c r="C78" s="486"/>
      <c r="D78" s="486"/>
      <c r="E78" s="486"/>
      <c r="F78" s="486"/>
      <c r="G78" s="486"/>
      <c r="H78" s="486"/>
      <c r="I78" s="486"/>
      <c r="J78" s="486"/>
      <c r="K78" s="110">
        <f>K26+K62-(K47+K48)+K72</f>
        <v>3653.9335999999998</v>
      </c>
      <c r="L78" s="111"/>
      <c r="M78" s="111"/>
      <c r="N78" s="111"/>
      <c r="O78" s="111"/>
      <c r="P78" s="111"/>
      <c r="Q78" s="111"/>
      <c r="R78" s="111"/>
      <c r="S78" s="111"/>
      <c r="T78" s="111"/>
    </row>
    <row r="79" spans="1:20" x14ac:dyDescent="0.35">
      <c r="A79" s="37" t="s">
        <v>60</v>
      </c>
      <c r="B79" s="454" t="s">
        <v>142</v>
      </c>
      <c r="C79" s="454"/>
      <c r="D79" s="454"/>
      <c r="E79" s="454"/>
      <c r="F79" s="454"/>
      <c r="G79" s="454"/>
      <c r="H79" s="454"/>
      <c r="I79" s="454"/>
      <c r="J79" s="81">
        <f>'Dados do Licitante'!H74</f>
        <v>8.21917808219178E-3</v>
      </c>
      <c r="K79" s="96">
        <f t="shared" ref="K79:K84" si="1">TRUNC(K$78*$J79,2)</f>
        <v>30.03</v>
      </c>
      <c r="L79" s="99"/>
      <c r="M79" s="99"/>
      <c r="N79" s="99"/>
      <c r="O79" s="99"/>
      <c r="P79" s="99"/>
      <c r="Q79" s="99"/>
      <c r="R79" s="99"/>
      <c r="S79" s="99"/>
      <c r="T79" s="99"/>
    </row>
    <row r="80" spans="1:20" x14ac:dyDescent="0.35">
      <c r="A80" s="37" t="s">
        <v>64</v>
      </c>
      <c r="B80" s="454" t="s">
        <v>143</v>
      </c>
      <c r="C80" s="454"/>
      <c r="D80" s="454"/>
      <c r="E80" s="454"/>
      <c r="F80" s="454"/>
      <c r="G80" s="454"/>
      <c r="H80" s="454"/>
      <c r="I80" s="454"/>
      <c r="J80" s="81">
        <f>'Dados do Licitante'!H75</f>
        <v>8.21917808219178E-3</v>
      </c>
      <c r="K80" s="96">
        <f t="shared" si="1"/>
        <v>30.03</v>
      </c>
      <c r="L80" s="99"/>
      <c r="M80" s="99"/>
      <c r="N80" s="99"/>
      <c r="O80" s="99"/>
      <c r="P80" s="99"/>
      <c r="Q80" s="99"/>
      <c r="R80" s="99"/>
      <c r="S80" s="99"/>
      <c r="T80" s="99"/>
    </row>
    <row r="81" spans="1:20" x14ac:dyDescent="0.35">
      <c r="A81" s="37" t="s">
        <v>66</v>
      </c>
      <c r="B81" s="454" t="s">
        <v>144</v>
      </c>
      <c r="C81" s="454"/>
      <c r="D81" s="454"/>
      <c r="E81" s="454"/>
      <c r="F81" s="454"/>
      <c r="G81" s="454"/>
      <c r="H81" s="454"/>
      <c r="I81" s="454"/>
      <c r="J81" s="81">
        <f>'Dados do Licitante'!H76</f>
        <v>8.1205479452054787E-4</v>
      </c>
      <c r="K81" s="96">
        <f t="shared" si="1"/>
        <v>2.96</v>
      </c>
      <c r="L81" s="99"/>
      <c r="M81" s="99"/>
      <c r="N81" s="99"/>
      <c r="O81" s="99"/>
      <c r="P81" s="99"/>
      <c r="Q81" s="99"/>
      <c r="R81" s="99"/>
      <c r="S81" s="99"/>
      <c r="T81" s="99"/>
    </row>
    <row r="82" spans="1:20" x14ac:dyDescent="0.35">
      <c r="A82" s="37" t="s">
        <v>68</v>
      </c>
      <c r="B82" s="499" t="s">
        <v>145</v>
      </c>
      <c r="C82" s="499"/>
      <c r="D82" s="499"/>
      <c r="E82" s="499"/>
      <c r="F82" s="499"/>
      <c r="G82" s="499"/>
      <c r="H82" s="499"/>
      <c r="I82" s="499"/>
      <c r="J82" s="81">
        <f>'Dados do Licitante'!H77</f>
        <v>2.7397260273972603E-3</v>
      </c>
      <c r="K82" s="96">
        <f t="shared" si="1"/>
        <v>10.01</v>
      </c>
      <c r="L82" s="99"/>
      <c r="M82" s="99"/>
      <c r="N82" s="99"/>
      <c r="O82" s="99"/>
      <c r="P82" s="99"/>
      <c r="Q82" s="99"/>
      <c r="R82" s="99"/>
      <c r="S82" s="99"/>
      <c r="T82" s="99"/>
    </row>
    <row r="83" spans="1:20" x14ac:dyDescent="0.35">
      <c r="A83" s="37" t="s">
        <v>70</v>
      </c>
      <c r="B83" s="499" t="s">
        <v>146</v>
      </c>
      <c r="C83" s="499"/>
      <c r="D83" s="499"/>
      <c r="E83" s="499"/>
      <c r="F83" s="499"/>
      <c r="G83" s="499"/>
      <c r="H83" s="499"/>
      <c r="I83" s="499"/>
      <c r="J83" s="81">
        <f>'Dados do Licitante'!H78</f>
        <v>2.1289717479452052E-4</v>
      </c>
      <c r="K83" s="96">
        <f t="shared" si="1"/>
        <v>0.77</v>
      </c>
      <c r="L83" s="99"/>
      <c r="M83" s="99"/>
      <c r="N83" s="99"/>
      <c r="O83" s="99"/>
      <c r="P83" s="99"/>
      <c r="Q83" s="99"/>
      <c r="R83" s="99"/>
      <c r="S83" s="99"/>
      <c r="T83" s="99"/>
    </row>
    <row r="84" spans="1:20" x14ac:dyDescent="0.35">
      <c r="A84" s="37" t="s">
        <v>72</v>
      </c>
      <c r="B84" s="454" t="s">
        <v>53</v>
      </c>
      <c r="C84" s="454"/>
      <c r="D84" s="454"/>
      <c r="E84" s="454"/>
      <c r="F84" s="454"/>
      <c r="G84" s="454"/>
      <c r="H84" s="454"/>
      <c r="I84" s="454"/>
      <c r="J84" s="81">
        <v>0</v>
      </c>
      <c r="K84" s="96">
        <f t="shared" si="1"/>
        <v>0</v>
      </c>
      <c r="L84" s="99"/>
      <c r="M84" s="99"/>
      <c r="N84" s="99"/>
      <c r="O84" s="99"/>
      <c r="P84" s="99"/>
      <c r="Q84" s="99"/>
      <c r="R84" s="99"/>
      <c r="S84" s="99"/>
      <c r="T84" s="99"/>
    </row>
    <row r="85" spans="1:20" x14ac:dyDescent="0.35">
      <c r="A85" s="450" t="s">
        <v>119</v>
      </c>
      <c r="B85" s="450"/>
      <c r="C85" s="450"/>
      <c r="D85" s="450"/>
      <c r="E85" s="450"/>
      <c r="F85" s="450"/>
      <c r="G85" s="450"/>
      <c r="H85" s="450"/>
      <c r="I85" s="450"/>
      <c r="J85" s="74"/>
      <c r="K85" s="102">
        <f>K77+K79+K80+K81+K82+K83+K84</f>
        <v>366.40999999999991</v>
      </c>
      <c r="L85" s="99"/>
      <c r="M85" s="99"/>
      <c r="N85" s="99"/>
      <c r="O85" s="99"/>
      <c r="P85" s="99"/>
      <c r="Q85" s="99"/>
      <c r="R85" s="99"/>
      <c r="S85" s="99"/>
      <c r="T85" s="99"/>
    </row>
    <row r="86" spans="1:20" x14ac:dyDescent="0.35">
      <c r="A86" s="502"/>
      <c r="B86" s="502"/>
      <c r="C86" s="502"/>
      <c r="D86" s="502"/>
      <c r="E86" s="502"/>
      <c r="F86" s="502"/>
      <c r="G86" s="502"/>
      <c r="H86" s="502"/>
      <c r="I86" s="502"/>
      <c r="J86" s="502"/>
      <c r="K86" s="502"/>
      <c r="L86" s="101"/>
      <c r="M86" s="101"/>
      <c r="N86" s="101"/>
      <c r="O86" s="101"/>
      <c r="P86" s="101"/>
      <c r="Q86" s="101"/>
      <c r="R86" s="101"/>
      <c r="S86" s="101"/>
      <c r="T86" s="101"/>
    </row>
    <row r="87" spans="1:20" x14ac:dyDescent="0.35">
      <c r="A87" s="465" t="s">
        <v>147</v>
      </c>
      <c r="B87" s="465"/>
      <c r="C87" s="465"/>
      <c r="D87" s="465"/>
      <c r="E87" s="465"/>
      <c r="F87" s="465"/>
      <c r="G87" s="465"/>
      <c r="H87" s="465"/>
      <c r="I87" s="465"/>
      <c r="J87" s="465"/>
      <c r="K87" s="103"/>
      <c r="M87" s="106"/>
      <c r="N87" s="106"/>
      <c r="O87" s="106"/>
      <c r="P87" s="106"/>
      <c r="Q87" s="106"/>
      <c r="R87" s="106"/>
      <c r="S87" s="106"/>
      <c r="T87" s="106"/>
    </row>
    <row r="88" spans="1:20" x14ac:dyDescent="0.35">
      <c r="A88" s="37" t="s">
        <v>57</v>
      </c>
      <c r="B88" s="454" t="s">
        <v>148</v>
      </c>
      <c r="C88" s="454"/>
      <c r="D88" s="454"/>
      <c r="E88" s="454"/>
      <c r="F88" s="454"/>
      <c r="G88" s="454"/>
      <c r="H88" s="454"/>
      <c r="I88" s="454"/>
      <c r="J88" s="84"/>
      <c r="K88" s="112">
        <v>0</v>
      </c>
      <c r="L88" s="117"/>
      <c r="M88" s="117"/>
      <c r="N88" s="117"/>
      <c r="O88" s="117"/>
      <c r="P88" s="117"/>
      <c r="Q88" s="117"/>
      <c r="R88" s="117"/>
      <c r="S88" s="117"/>
      <c r="T88" s="117"/>
    </row>
    <row r="89" spans="1:20" x14ac:dyDescent="0.35">
      <c r="A89" s="450" t="s">
        <v>119</v>
      </c>
      <c r="B89" s="450" t="s">
        <v>119</v>
      </c>
      <c r="C89" s="450"/>
      <c r="D89" s="450"/>
      <c r="E89" s="450"/>
      <c r="F89" s="450"/>
      <c r="G89" s="450"/>
      <c r="H89" s="450"/>
      <c r="I89" s="450"/>
      <c r="J89" s="74"/>
      <c r="K89" s="102">
        <f>K88</f>
        <v>0</v>
      </c>
      <c r="L89" s="113"/>
      <c r="M89" s="113"/>
      <c r="N89" s="113"/>
      <c r="O89" s="113"/>
      <c r="P89" s="113"/>
      <c r="Q89" s="113"/>
      <c r="R89" s="113"/>
      <c r="S89" s="113"/>
      <c r="T89" s="113"/>
    </row>
    <row r="90" spans="1:20" x14ac:dyDescent="0.35">
      <c r="A90" s="502"/>
      <c r="B90" s="502"/>
      <c r="C90" s="502"/>
      <c r="D90" s="502"/>
      <c r="E90" s="502"/>
      <c r="F90" s="502"/>
      <c r="G90" s="502"/>
      <c r="H90" s="502"/>
      <c r="I90" s="502"/>
      <c r="J90" s="502"/>
      <c r="K90" s="503"/>
      <c r="L90" s="101"/>
      <c r="M90" s="101"/>
      <c r="N90" s="101"/>
      <c r="O90" s="101"/>
      <c r="P90" s="101"/>
      <c r="Q90" s="101"/>
      <c r="R90" s="101"/>
      <c r="S90" s="101"/>
      <c r="T90" s="101"/>
    </row>
    <row r="91" spans="1:20" x14ac:dyDescent="0.35">
      <c r="A91" s="450" t="s">
        <v>149</v>
      </c>
      <c r="B91" s="450"/>
      <c r="C91" s="450"/>
      <c r="D91" s="450"/>
      <c r="E91" s="450"/>
      <c r="F91" s="450"/>
      <c r="G91" s="450"/>
      <c r="H91" s="450"/>
      <c r="I91" s="450"/>
      <c r="J91" s="450"/>
      <c r="K91" s="103"/>
      <c r="M91" s="106"/>
      <c r="N91" s="106"/>
      <c r="O91" s="106"/>
      <c r="P91" s="106"/>
      <c r="Q91" s="106"/>
      <c r="R91" s="106"/>
      <c r="S91" s="106"/>
      <c r="T91" s="106"/>
    </row>
    <row r="92" spans="1:20" x14ac:dyDescent="0.35">
      <c r="A92" s="37" t="s">
        <v>150</v>
      </c>
      <c r="B92" s="454" t="s">
        <v>151</v>
      </c>
      <c r="C92" s="454"/>
      <c r="D92" s="454"/>
      <c r="E92" s="454"/>
      <c r="F92" s="454"/>
      <c r="G92" s="454"/>
      <c r="H92" s="454"/>
      <c r="I92" s="454"/>
      <c r="J92" s="85"/>
      <c r="K92" s="96">
        <f>K85</f>
        <v>366.40999999999991</v>
      </c>
      <c r="L92" s="117"/>
      <c r="M92" s="117"/>
      <c r="N92" s="117"/>
      <c r="O92" s="117"/>
      <c r="P92" s="117"/>
      <c r="Q92" s="117"/>
      <c r="R92" s="117"/>
      <c r="S92" s="117"/>
      <c r="T92" s="117"/>
    </row>
    <row r="93" spans="1:20" x14ac:dyDescent="0.35">
      <c r="A93" s="37" t="s">
        <v>152</v>
      </c>
      <c r="B93" s="454" t="s">
        <v>153</v>
      </c>
      <c r="C93" s="454"/>
      <c r="D93" s="454"/>
      <c r="E93" s="454"/>
      <c r="F93" s="454"/>
      <c r="G93" s="454"/>
      <c r="H93" s="454"/>
      <c r="I93" s="454"/>
      <c r="J93" s="85"/>
      <c r="K93" s="96">
        <f>K89</f>
        <v>0</v>
      </c>
      <c r="L93" s="99"/>
      <c r="M93" s="99"/>
      <c r="N93" s="99"/>
      <c r="O93" s="99"/>
      <c r="P93" s="99"/>
      <c r="Q93" s="99"/>
      <c r="R93" s="99"/>
      <c r="S93" s="99"/>
      <c r="T93" s="99"/>
    </row>
    <row r="94" spans="1:20" x14ac:dyDescent="0.35">
      <c r="A94" s="464" t="s">
        <v>119</v>
      </c>
      <c r="B94" s="464" t="s">
        <v>119</v>
      </c>
      <c r="C94" s="464"/>
      <c r="D94" s="464"/>
      <c r="E94" s="464"/>
      <c r="F94" s="464"/>
      <c r="G94" s="464"/>
      <c r="H94" s="464"/>
      <c r="I94" s="464"/>
      <c r="J94" s="83"/>
      <c r="K94" s="97">
        <f>K92+K93</f>
        <v>366.40999999999991</v>
      </c>
      <c r="L94" s="99"/>
      <c r="M94" s="99"/>
      <c r="N94" s="99"/>
      <c r="O94" s="99"/>
      <c r="P94" s="99"/>
      <c r="Q94" s="99"/>
      <c r="R94" s="99"/>
      <c r="S94" s="99"/>
      <c r="T94" s="99"/>
    </row>
    <row r="95" spans="1:20" x14ac:dyDescent="0.35">
      <c r="A95" s="502"/>
      <c r="B95" s="502"/>
      <c r="C95" s="502"/>
      <c r="D95" s="502"/>
      <c r="E95" s="502"/>
      <c r="F95" s="502"/>
      <c r="G95" s="502"/>
      <c r="H95" s="502"/>
      <c r="I95" s="502"/>
      <c r="J95" s="502"/>
      <c r="K95" s="503"/>
      <c r="L95" s="101"/>
      <c r="M95" s="101"/>
      <c r="N95" s="101"/>
      <c r="O95" s="101"/>
      <c r="P95" s="101"/>
      <c r="Q95" s="101"/>
      <c r="R95" s="101"/>
      <c r="S95" s="101"/>
      <c r="T95" s="101"/>
    </row>
    <row r="96" spans="1:20" x14ac:dyDescent="0.35">
      <c r="A96" s="465" t="s">
        <v>154</v>
      </c>
      <c r="B96" s="465"/>
      <c r="C96" s="465"/>
      <c r="D96" s="465"/>
      <c r="E96" s="465"/>
      <c r="F96" s="465"/>
      <c r="G96" s="465"/>
      <c r="H96" s="465"/>
      <c r="I96" s="465"/>
      <c r="J96" s="465"/>
      <c r="K96" s="103"/>
      <c r="M96" s="106"/>
      <c r="N96" s="106"/>
      <c r="O96" s="106"/>
      <c r="P96" s="106"/>
      <c r="Q96" s="106"/>
      <c r="R96" s="106"/>
      <c r="S96" s="106"/>
      <c r="T96" s="106"/>
    </row>
    <row r="97" spans="1:20" x14ac:dyDescent="0.35">
      <c r="A97" s="37" t="s">
        <v>57</v>
      </c>
      <c r="B97" s="454" t="s">
        <v>206</v>
      </c>
      <c r="C97" s="454"/>
      <c r="D97" s="454"/>
      <c r="E97" s="454"/>
      <c r="F97" s="454"/>
      <c r="G97" s="454"/>
      <c r="H97" s="454"/>
      <c r="I97" s="454"/>
      <c r="J97" s="454"/>
      <c r="K97" s="96">
        <f>Uniformes!E32</f>
        <v>117.35999999999999</v>
      </c>
      <c r="L97" s="117"/>
      <c r="M97" s="117"/>
      <c r="N97" s="117"/>
      <c r="O97" s="117"/>
      <c r="P97" s="117"/>
      <c r="Q97" s="117"/>
      <c r="R97" s="117"/>
      <c r="S97" s="117"/>
      <c r="T97" s="117"/>
    </row>
    <row r="98" spans="1:20" x14ac:dyDescent="0.35">
      <c r="A98" s="37" t="s">
        <v>60</v>
      </c>
      <c r="B98" s="505" t="s">
        <v>155</v>
      </c>
      <c r="C98" s="506"/>
      <c r="D98" s="506"/>
      <c r="E98" s="507"/>
      <c r="F98" s="492"/>
      <c r="G98" s="492"/>
      <c r="H98" s="492"/>
      <c r="I98" s="492"/>
      <c r="J98" s="86">
        <f>'Dados do Licitante'!G82</f>
        <v>2.47E-2</v>
      </c>
      <c r="K98" s="96">
        <f>J98*(K105+K106+K107+K108)</f>
        <v>117.99670889239999</v>
      </c>
      <c r="L98" s="99"/>
      <c r="M98" s="99"/>
      <c r="N98" s="99"/>
      <c r="O98" s="99"/>
      <c r="P98" s="99"/>
      <c r="Q98" s="99"/>
      <c r="R98" s="99"/>
      <c r="S98" s="99"/>
      <c r="T98" s="99"/>
    </row>
    <row r="99" spans="1:20" x14ac:dyDescent="0.35">
      <c r="A99" s="450" t="s">
        <v>64</v>
      </c>
      <c r="B99" s="508" t="s">
        <v>156</v>
      </c>
      <c r="C99" s="508"/>
      <c r="D99" s="509" t="s">
        <v>157</v>
      </c>
      <c r="E99" s="509"/>
      <c r="F99" s="509"/>
      <c r="G99" s="509"/>
      <c r="H99" s="509"/>
      <c r="I99" s="509"/>
      <c r="J99" s="509"/>
      <c r="K99" s="96"/>
      <c r="L99" s="99"/>
      <c r="M99" s="99"/>
      <c r="N99" s="99"/>
      <c r="O99" s="99"/>
      <c r="P99" s="99"/>
      <c r="Q99" s="99"/>
      <c r="R99" s="99"/>
      <c r="S99" s="99"/>
      <c r="T99" s="99"/>
    </row>
    <row r="100" spans="1:20" x14ac:dyDescent="0.35">
      <c r="A100" s="450"/>
      <c r="B100" s="508"/>
      <c r="C100" s="508"/>
      <c r="D100" s="509" t="s">
        <v>157</v>
      </c>
      <c r="E100" s="509"/>
      <c r="F100" s="509"/>
      <c r="G100" s="509"/>
      <c r="H100" s="509"/>
      <c r="I100" s="509"/>
      <c r="J100" s="509"/>
      <c r="K100" s="96"/>
      <c r="L100" s="99"/>
      <c r="M100" s="114"/>
      <c r="N100" s="114"/>
      <c r="O100" s="114"/>
      <c r="P100" s="114"/>
      <c r="Q100" s="114"/>
      <c r="R100" s="114"/>
      <c r="S100" s="114"/>
      <c r="T100" s="114"/>
    </row>
    <row r="101" spans="1:20" x14ac:dyDescent="0.35">
      <c r="A101" s="464" t="s">
        <v>158</v>
      </c>
      <c r="B101" s="464"/>
      <c r="C101" s="464"/>
      <c r="D101" s="464"/>
      <c r="E101" s="464"/>
      <c r="F101" s="464"/>
      <c r="G101" s="464"/>
      <c r="H101" s="464"/>
      <c r="I101" s="464"/>
      <c r="J101" s="464"/>
      <c r="K101" s="97">
        <f t="shared" ref="K101" si="2">SUM(K97:K100)</f>
        <v>235.35670889239998</v>
      </c>
      <c r="L101" s="99"/>
      <c r="M101" s="114"/>
      <c r="N101" s="114"/>
      <c r="O101" s="114"/>
      <c r="P101" s="114"/>
      <c r="Q101" s="114"/>
      <c r="R101" s="114"/>
      <c r="S101" s="114"/>
      <c r="T101" s="114"/>
    </row>
    <row r="102" spans="1:20" x14ac:dyDescent="0.35">
      <c r="A102" s="504"/>
      <c r="B102" s="504"/>
      <c r="C102" s="504"/>
      <c r="D102" s="504"/>
      <c r="E102" s="504"/>
      <c r="F102" s="504"/>
      <c r="G102" s="504"/>
      <c r="H102" s="504"/>
      <c r="I102" s="504"/>
      <c r="J102" s="504"/>
      <c r="K102" s="504"/>
      <c r="L102" s="101"/>
      <c r="M102" s="101"/>
      <c r="N102" s="101"/>
      <c r="O102" s="101"/>
      <c r="P102" s="101"/>
      <c r="Q102" s="101"/>
      <c r="R102" s="101"/>
      <c r="S102" s="101"/>
      <c r="T102" s="101"/>
    </row>
    <row r="103" spans="1:20" x14ac:dyDescent="0.35">
      <c r="A103" s="510" t="s">
        <v>159</v>
      </c>
      <c r="B103" s="303"/>
      <c r="C103" s="303"/>
      <c r="D103" s="303"/>
      <c r="E103" s="303"/>
      <c r="F103" s="303"/>
      <c r="G103" s="303"/>
      <c r="H103" s="303"/>
      <c r="I103" s="303"/>
      <c r="J103" s="303"/>
      <c r="K103" s="303"/>
      <c r="M103" s="106"/>
      <c r="N103" s="106"/>
      <c r="O103" s="106"/>
      <c r="P103" s="106"/>
      <c r="Q103" s="106"/>
      <c r="R103" s="106"/>
      <c r="S103" s="106"/>
      <c r="T103" s="106"/>
    </row>
    <row r="104" spans="1:20" x14ac:dyDescent="0.35">
      <c r="A104" s="465" t="s">
        <v>160</v>
      </c>
      <c r="B104" s="465"/>
      <c r="C104" s="465"/>
      <c r="D104" s="465"/>
      <c r="E104" s="465"/>
      <c r="F104" s="465"/>
      <c r="G104" s="465"/>
      <c r="H104" s="465"/>
      <c r="I104" s="465"/>
      <c r="J104" s="465"/>
      <c r="K104" s="103"/>
      <c r="L104" s="117"/>
      <c r="M104" s="117"/>
      <c r="N104" s="117"/>
      <c r="O104" s="117"/>
      <c r="P104" s="117"/>
      <c r="Q104" s="117"/>
      <c r="R104" s="117"/>
      <c r="S104" s="117"/>
      <c r="T104" s="117"/>
    </row>
    <row r="105" spans="1:20" x14ac:dyDescent="0.35">
      <c r="A105" s="37" t="s">
        <v>57</v>
      </c>
      <c r="B105" s="452" t="s">
        <v>92</v>
      </c>
      <c r="C105" s="452"/>
      <c r="D105" s="452"/>
      <c r="E105" s="452"/>
      <c r="F105" s="452"/>
      <c r="G105" s="452"/>
      <c r="H105" s="452"/>
      <c r="I105" s="452"/>
      <c r="J105" s="452"/>
      <c r="K105" s="96">
        <f t="shared" ref="K105" si="3">K26</f>
        <v>2283.36</v>
      </c>
      <c r="L105" s="117"/>
      <c r="M105" s="117"/>
      <c r="N105" s="117"/>
      <c r="O105" s="117"/>
      <c r="P105" s="117"/>
      <c r="Q105" s="117"/>
      <c r="R105" s="117"/>
      <c r="S105" s="117"/>
      <c r="T105" s="117"/>
    </row>
    <row r="106" spans="1:20" x14ac:dyDescent="0.35">
      <c r="A106" s="37" t="s">
        <v>60</v>
      </c>
      <c r="B106" s="452" t="s">
        <v>161</v>
      </c>
      <c r="C106" s="452"/>
      <c r="D106" s="452"/>
      <c r="E106" s="452"/>
      <c r="F106" s="452"/>
      <c r="G106" s="452"/>
      <c r="H106" s="452"/>
      <c r="I106" s="452"/>
      <c r="J106" s="452"/>
      <c r="K106" s="96">
        <f t="shared" ref="K106" si="4">K62</f>
        <v>1985.0746919999999</v>
      </c>
      <c r="L106" s="99"/>
      <c r="M106" s="99"/>
      <c r="N106" s="99"/>
      <c r="O106" s="99"/>
      <c r="P106" s="99"/>
      <c r="Q106" s="99"/>
      <c r="R106" s="99"/>
      <c r="S106" s="99"/>
      <c r="T106" s="99"/>
    </row>
    <row r="107" spans="1:20" x14ac:dyDescent="0.35">
      <c r="A107" s="37" t="s">
        <v>64</v>
      </c>
      <c r="B107" s="452" t="s">
        <v>162</v>
      </c>
      <c r="C107" s="452"/>
      <c r="D107" s="452"/>
      <c r="E107" s="452"/>
      <c r="F107" s="452"/>
      <c r="G107" s="452"/>
      <c r="H107" s="452"/>
      <c r="I107" s="452"/>
      <c r="J107" s="452"/>
      <c r="K107" s="96">
        <f>K72</f>
        <v>142.35</v>
      </c>
      <c r="L107" s="99"/>
      <c r="M107" s="99"/>
      <c r="N107" s="99"/>
      <c r="O107" s="99"/>
      <c r="P107" s="99"/>
      <c r="Q107" s="99"/>
      <c r="R107" s="99"/>
      <c r="S107" s="99"/>
      <c r="T107" s="99"/>
    </row>
    <row r="108" spans="1:20" x14ac:dyDescent="0.35">
      <c r="A108" s="37" t="s">
        <v>66</v>
      </c>
      <c r="B108" s="452" t="s">
        <v>163</v>
      </c>
      <c r="C108" s="452"/>
      <c r="D108" s="452"/>
      <c r="E108" s="452"/>
      <c r="F108" s="452"/>
      <c r="G108" s="452"/>
      <c r="H108" s="452"/>
      <c r="I108" s="452"/>
      <c r="J108" s="452"/>
      <c r="K108" s="96">
        <f>K94</f>
        <v>366.40999999999991</v>
      </c>
      <c r="L108" s="99"/>
      <c r="M108" s="99"/>
      <c r="N108" s="99"/>
      <c r="O108" s="99"/>
      <c r="P108" s="99"/>
      <c r="Q108" s="99"/>
      <c r="R108" s="99"/>
      <c r="S108" s="99"/>
      <c r="T108" s="99"/>
    </row>
    <row r="109" spans="1:20" x14ac:dyDescent="0.35">
      <c r="A109" s="37" t="s">
        <v>68</v>
      </c>
      <c r="B109" s="452" t="s">
        <v>164</v>
      </c>
      <c r="C109" s="452"/>
      <c r="D109" s="452"/>
      <c r="E109" s="452"/>
      <c r="F109" s="452"/>
      <c r="G109" s="452"/>
      <c r="H109" s="452"/>
      <c r="I109" s="452"/>
      <c r="J109" s="452"/>
      <c r="K109" s="96">
        <f>K101</f>
        <v>235.35670889239998</v>
      </c>
      <c r="L109" s="99"/>
      <c r="M109" s="99"/>
      <c r="N109" s="99"/>
      <c r="O109" s="99"/>
      <c r="P109" s="99"/>
      <c r="Q109" s="99"/>
      <c r="R109" s="99"/>
      <c r="S109" s="99"/>
      <c r="T109" s="99"/>
    </row>
    <row r="110" spans="1:20" x14ac:dyDescent="0.35">
      <c r="A110" s="517" t="s">
        <v>165</v>
      </c>
      <c r="B110" s="517"/>
      <c r="C110" s="517"/>
      <c r="D110" s="517"/>
      <c r="E110" s="517"/>
      <c r="F110" s="517"/>
      <c r="G110" s="517"/>
      <c r="H110" s="517"/>
      <c r="I110" s="517"/>
      <c r="J110" s="517"/>
      <c r="K110" s="97">
        <f>SUM(K105:K109)</f>
        <v>5012.5514008924001</v>
      </c>
      <c r="L110" s="99"/>
      <c r="M110" s="99"/>
      <c r="N110" s="99"/>
      <c r="O110" s="99"/>
      <c r="P110" s="99"/>
      <c r="Q110" s="99"/>
      <c r="R110" s="99"/>
      <c r="S110" s="99"/>
      <c r="T110" s="99"/>
    </row>
    <row r="111" spans="1:20" x14ac:dyDescent="0.35">
      <c r="A111" s="478"/>
      <c r="B111" s="478"/>
      <c r="C111" s="478"/>
      <c r="D111" s="478"/>
      <c r="E111" s="478"/>
      <c r="F111" s="478"/>
      <c r="G111" s="478"/>
      <c r="H111" s="478"/>
      <c r="I111" s="478"/>
      <c r="J111" s="478"/>
      <c r="K111" s="478"/>
      <c r="L111" s="101"/>
      <c r="M111" s="101"/>
      <c r="N111" s="101"/>
      <c r="O111" s="101"/>
      <c r="P111" s="101"/>
      <c r="Q111" s="101"/>
      <c r="R111" s="101"/>
      <c r="S111" s="101"/>
      <c r="T111" s="101"/>
    </row>
    <row r="112" spans="1:20" x14ac:dyDescent="0.35">
      <c r="A112" s="465" t="s">
        <v>166</v>
      </c>
      <c r="B112" s="465"/>
      <c r="C112" s="465"/>
      <c r="D112" s="465"/>
      <c r="E112" s="465"/>
      <c r="F112" s="465"/>
      <c r="G112" s="465"/>
      <c r="H112" s="465"/>
      <c r="I112" s="465"/>
      <c r="J112" s="465"/>
      <c r="K112" s="103"/>
      <c r="M112" s="106"/>
      <c r="N112" s="106"/>
      <c r="O112" s="106"/>
      <c r="P112" s="106"/>
      <c r="Q112" s="106"/>
      <c r="R112" s="106"/>
      <c r="S112" s="106"/>
      <c r="T112" s="106"/>
    </row>
    <row r="113" spans="1:20" x14ac:dyDescent="0.35">
      <c r="A113" s="37" t="s">
        <v>57</v>
      </c>
      <c r="B113" s="452" t="s">
        <v>167</v>
      </c>
      <c r="C113" s="452"/>
      <c r="D113" s="452"/>
      <c r="E113" s="452"/>
      <c r="F113" s="452"/>
      <c r="G113" s="452"/>
      <c r="H113" s="452"/>
      <c r="I113" s="452"/>
      <c r="J113" s="73">
        <f>'Dados do Licitante'!F23</f>
        <v>0.11749999999999999</v>
      </c>
      <c r="K113" s="96">
        <f>TRUNC(K$110*$J113,2)</f>
        <v>588.97</v>
      </c>
      <c r="L113" s="117"/>
      <c r="M113" s="117"/>
      <c r="N113" s="117"/>
      <c r="O113" s="117"/>
      <c r="P113" s="117"/>
      <c r="Q113" s="117"/>
      <c r="R113" s="117"/>
      <c r="S113" s="117"/>
      <c r="T113" s="117"/>
    </row>
    <row r="114" spans="1:20" x14ac:dyDescent="0.35">
      <c r="A114" s="37" t="s">
        <v>60</v>
      </c>
      <c r="B114" s="452" t="s">
        <v>168</v>
      </c>
      <c r="C114" s="452"/>
      <c r="D114" s="452"/>
      <c r="E114" s="452"/>
      <c r="F114" s="452"/>
      <c r="G114" s="452"/>
      <c r="H114" s="452"/>
      <c r="I114" s="452"/>
      <c r="J114" s="73">
        <f>'Dados do Licitante'!F24</f>
        <v>0.10979999999999999</v>
      </c>
      <c r="K114" s="96">
        <f>TRUNC((K110+K113)*$J114,2)</f>
        <v>615.04</v>
      </c>
      <c r="L114" s="99"/>
      <c r="M114" s="99"/>
      <c r="N114" s="99"/>
      <c r="O114" s="99"/>
      <c r="P114" s="99"/>
      <c r="Q114" s="99"/>
      <c r="R114" s="99"/>
      <c r="S114" s="99"/>
      <c r="T114" s="99"/>
    </row>
    <row r="115" spans="1:20" x14ac:dyDescent="0.35">
      <c r="A115" s="511" t="s">
        <v>64</v>
      </c>
      <c r="B115" s="513" t="s">
        <v>169</v>
      </c>
      <c r="C115" s="514"/>
      <c r="D115" s="514"/>
      <c r="E115" s="514"/>
      <c r="F115" s="514"/>
      <c r="G115" s="514"/>
      <c r="H115" s="514"/>
      <c r="I115" s="514"/>
      <c r="J115" s="87" t="s">
        <v>170</v>
      </c>
      <c r="K115" s="115">
        <f>'Dados do Licitante'!H31</f>
        <v>8.6499999999999994E-2</v>
      </c>
      <c r="L115" s="99"/>
      <c r="M115" s="99"/>
      <c r="N115" s="99"/>
      <c r="O115" s="99"/>
      <c r="P115" s="99"/>
      <c r="Q115" s="99"/>
      <c r="R115" s="99"/>
      <c r="S115" s="99"/>
      <c r="T115" s="99"/>
    </row>
    <row r="116" spans="1:20" x14ac:dyDescent="0.35">
      <c r="A116" s="512"/>
      <c r="B116" s="515"/>
      <c r="C116" s="516"/>
      <c r="D116" s="516"/>
      <c r="E116" s="516"/>
      <c r="F116" s="516"/>
      <c r="G116" s="516"/>
      <c r="H116" s="516"/>
      <c r="I116" s="516"/>
      <c r="J116" s="88" t="s">
        <v>171</v>
      </c>
      <c r="K116" s="96">
        <f>IF(K115&lt;&gt;"",K119*K115,0)</f>
        <v>588.65086062090052</v>
      </c>
      <c r="L116" s="118"/>
      <c r="M116" s="119"/>
      <c r="N116" s="119"/>
      <c r="O116" s="119"/>
      <c r="P116" s="119"/>
      <c r="Q116" s="119"/>
      <c r="R116" s="119"/>
      <c r="S116" s="119"/>
      <c r="T116" s="119"/>
    </row>
    <row r="117" spans="1:20" x14ac:dyDescent="0.35">
      <c r="A117" s="517" t="s">
        <v>172</v>
      </c>
      <c r="B117" s="517"/>
      <c r="C117" s="517"/>
      <c r="D117" s="517"/>
      <c r="E117" s="517"/>
      <c r="F117" s="517"/>
      <c r="G117" s="517"/>
      <c r="H117" s="517"/>
      <c r="I117" s="517"/>
      <c r="J117" s="517"/>
      <c r="K117" s="97">
        <f>K113+K114+K116</f>
        <v>1792.6608606209006</v>
      </c>
      <c r="L117" s="99"/>
      <c r="M117" s="99"/>
      <c r="N117" s="99"/>
      <c r="O117" s="99"/>
      <c r="P117" s="99"/>
      <c r="Q117" s="99"/>
      <c r="R117" s="99"/>
      <c r="S117" s="99"/>
      <c r="T117" s="99"/>
    </row>
    <row r="118" spans="1:20" x14ac:dyDescent="0.35">
      <c r="A118" s="62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101"/>
      <c r="M118" s="101"/>
      <c r="N118" s="101"/>
      <c r="O118" s="101"/>
      <c r="P118" s="101"/>
      <c r="Q118" s="101"/>
      <c r="R118" s="101"/>
      <c r="S118" s="101"/>
      <c r="T118" s="101"/>
    </row>
    <row r="119" spans="1:20" x14ac:dyDescent="0.35">
      <c r="A119" s="518" t="s">
        <v>173</v>
      </c>
      <c r="B119" s="518"/>
      <c r="C119" s="518"/>
      <c r="D119" s="518"/>
      <c r="E119" s="518"/>
      <c r="F119" s="518"/>
      <c r="G119" s="518"/>
      <c r="H119" s="518"/>
      <c r="I119" s="518"/>
      <c r="J119" s="518"/>
      <c r="K119" s="116">
        <f>IF(K115&lt;&gt;"",(K110+K113+K114)/(1-K115),0)</f>
        <v>6805.2122615133012</v>
      </c>
      <c r="L119" s="93"/>
      <c r="M119" s="106"/>
      <c r="N119" s="106"/>
      <c r="O119" s="106"/>
      <c r="P119" s="106"/>
      <c r="Q119" s="106"/>
      <c r="R119" s="106"/>
      <c r="S119" s="106"/>
      <c r="T119" s="106"/>
    </row>
    <row r="120" spans="1:20" x14ac:dyDescent="0.35">
      <c r="A120" s="124"/>
      <c r="B120" s="124"/>
      <c r="C120" s="124"/>
      <c r="D120" s="124"/>
      <c r="E120" s="124"/>
      <c r="F120" s="124"/>
      <c r="G120" s="124"/>
      <c r="H120" s="124"/>
      <c r="I120" s="124"/>
      <c r="J120" s="124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</row>
  </sheetData>
  <mergeCells count="132">
    <mergeCell ref="A119:J119"/>
    <mergeCell ref="A94:I94"/>
    <mergeCell ref="A95:K95"/>
    <mergeCell ref="A103:K103"/>
    <mergeCell ref="B106:J106"/>
    <mergeCell ref="B107:J107"/>
    <mergeCell ref="D100:J100"/>
    <mergeCell ref="A96:J96"/>
    <mergeCell ref="B97:J97"/>
    <mergeCell ref="B98:E98"/>
    <mergeCell ref="F98:I98"/>
    <mergeCell ref="A99:A100"/>
    <mergeCell ref="B99:C100"/>
    <mergeCell ref="D99:J99"/>
    <mergeCell ref="A101:J101"/>
    <mergeCell ref="A102:K102"/>
    <mergeCell ref="A104:J104"/>
    <mergeCell ref="B105:J105"/>
    <mergeCell ref="A110:J110"/>
    <mergeCell ref="A111:K111"/>
    <mergeCell ref="A112:J112"/>
    <mergeCell ref="B113:I113"/>
    <mergeCell ref="A115:A116"/>
    <mergeCell ref="B115:I116"/>
    <mergeCell ref="B93:I93"/>
    <mergeCell ref="B84:I84"/>
    <mergeCell ref="A85:I85"/>
    <mergeCell ref="A86:K86"/>
    <mergeCell ref="A87:J87"/>
    <mergeCell ref="B88:I88"/>
    <mergeCell ref="A89:I89"/>
    <mergeCell ref="A90:K90"/>
    <mergeCell ref="A91:J91"/>
    <mergeCell ref="B92:I92"/>
    <mergeCell ref="A78:J78"/>
    <mergeCell ref="B79:I79"/>
    <mergeCell ref="B80:I80"/>
    <mergeCell ref="B81:I81"/>
    <mergeCell ref="B82:I82"/>
    <mergeCell ref="B83:I83"/>
    <mergeCell ref="A75:J75"/>
    <mergeCell ref="A76:J76"/>
    <mergeCell ref="B77:I77"/>
    <mergeCell ref="B69:I69"/>
    <mergeCell ref="A70:J70"/>
    <mergeCell ref="B71:I71"/>
    <mergeCell ref="A72:I72"/>
    <mergeCell ref="A73:K73"/>
    <mergeCell ref="A74:J74"/>
    <mergeCell ref="K74:K75"/>
    <mergeCell ref="A65:J65"/>
    <mergeCell ref="B66:C66"/>
    <mergeCell ref="F66:G66"/>
    <mergeCell ref="H66:I66"/>
    <mergeCell ref="B67:I67"/>
    <mergeCell ref="B68:E68"/>
    <mergeCell ref="F68:G68"/>
    <mergeCell ref="H68:I68"/>
    <mergeCell ref="B59:I59"/>
    <mergeCell ref="B60:I60"/>
    <mergeCell ref="B61:J61"/>
    <mergeCell ref="B62:J62"/>
    <mergeCell ref="A63:K63"/>
    <mergeCell ref="A64:J64"/>
    <mergeCell ref="B53:J53"/>
    <mergeCell ref="B54:J54"/>
    <mergeCell ref="B55:J55"/>
    <mergeCell ref="B56:J56"/>
    <mergeCell ref="A57:K57"/>
    <mergeCell ref="A58:J58"/>
    <mergeCell ref="B47:J47"/>
    <mergeCell ref="B48:J48"/>
    <mergeCell ref="B49:J49"/>
    <mergeCell ref="B50:J50"/>
    <mergeCell ref="B51:J51"/>
    <mergeCell ref="B52:J52"/>
    <mergeCell ref="B42:I42"/>
    <mergeCell ref="B43:E43"/>
    <mergeCell ref="H43:I43"/>
    <mergeCell ref="C44:I44"/>
    <mergeCell ref="A46:J46"/>
    <mergeCell ref="A29:J29"/>
    <mergeCell ref="A28:J28"/>
    <mergeCell ref="K28:K29"/>
    <mergeCell ref="A36:I36"/>
    <mergeCell ref="B37:I37"/>
    <mergeCell ref="B38:I38"/>
    <mergeCell ref="B39:I39"/>
    <mergeCell ref="B40:I40"/>
    <mergeCell ref="B41:I41"/>
    <mergeCell ref="B30:I30"/>
    <mergeCell ref="B31:I31"/>
    <mergeCell ref="B32:I32"/>
    <mergeCell ref="A33:K33"/>
    <mergeCell ref="A34:J34"/>
    <mergeCell ref="A35:J35"/>
    <mergeCell ref="E8:K8"/>
    <mergeCell ref="B22:J22"/>
    <mergeCell ref="B23:J23"/>
    <mergeCell ref="B24:J24"/>
    <mergeCell ref="B25:J25"/>
    <mergeCell ref="A26:J26"/>
    <mergeCell ref="B17:J17"/>
    <mergeCell ref="A19:J19"/>
    <mergeCell ref="B20:J20"/>
    <mergeCell ref="B21:D21"/>
    <mergeCell ref="E21:G21"/>
    <mergeCell ref="H21:I21"/>
    <mergeCell ref="A117:J117"/>
    <mergeCell ref="B114:I114"/>
    <mergeCell ref="B108:J108"/>
    <mergeCell ref="B109:J109"/>
    <mergeCell ref="A1:K1"/>
    <mergeCell ref="A2:C2"/>
    <mergeCell ref="D2:K2"/>
    <mergeCell ref="A3:C3"/>
    <mergeCell ref="D3:K3"/>
    <mergeCell ref="A4:C4"/>
    <mergeCell ref="D4:F4"/>
    <mergeCell ref="H4:K4"/>
    <mergeCell ref="A12:K12"/>
    <mergeCell ref="B9:J9"/>
    <mergeCell ref="B11:J11"/>
    <mergeCell ref="A13:K13"/>
    <mergeCell ref="B14:J14"/>
    <mergeCell ref="B15:J15"/>
    <mergeCell ref="B16:J16"/>
    <mergeCell ref="A5:K5"/>
    <mergeCell ref="A6:C6"/>
    <mergeCell ref="D6:K6"/>
    <mergeCell ref="A7:K7"/>
    <mergeCell ref="B8:D8"/>
  </mergeCells>
  <conditionalFormatting sqref="J98">
    <cfRule type="expression" dxfId="5" priority="2">
      <formula>$J$98=""</formula>
    </cfRule>
  </conditionalFormatting>
  <conditionalFormatting sqref="F98:I98">
    <cfRule type="expression" dxfId="4" priority="1">
      <formula>$F$98=""</formula>
    </cfRule>
  </conditionalFormatting>
  <pageMargins left="0.511811024" right="0.511811024" top="0.78740157499999996" bottom="0.78740157499999996" header="0.31496062000000002" footer="0.31496062000000002"/>
  <pageSetup paperSize="9" scale="91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5" r:id="rId4" name="Option Button 9">
              <controlPr defaultSize="0" autoFill="0" autoLine="0" autoPict="0">
                <anchor moveWithCells="1">
                  <from>
                    <xdr:col>9</xdr:col>
                    <xdr:colOff>12700</xdr:colOff>
                    <xdr:row>20</xdr:row>
                    <xdr:rowOff>0</xdr:rowOff>
                  </from>
                  <to>
                    <xdr:col>9</xdr:col>
                    <xdr:colOff>279400</xdr:colOff>
                    <xdr:row>20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5" name="Option Button 10">
              <controlPr defaultSize="0" autoFill="0" autoLine="0" autoPict="0">
                <anchor moveWithCells="1">
                  <from>
                    <xdr:col>9</xdr:col>
                    <xdr:colOff>0</xdr:colOff>
                    <xdr:row>20</xdr:row>
                    <xdr:rowOff>76200</xdr:rowOff>
                  </from>
                  <to>
                    <xdr:col>9</xdr:col>
                    <xdr:colOff>520700</xdr:colOff>
                    <xdr:row>21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5215F-D4D8-44DC-A136-6C379617F91E}">
  <sheetPr>
    <pageSetUpPr fitToPage="1"/>
  </sheetPr>
  <dimension ref="A1:K119"/>
  <sheetViews>
    <sheetView workbookViewId="0">
      <selection activeCell="D2" sqref="D2:K3"/>
    </sheetView>
  </sheetViews>
  <sheetFormatPr defaultRowHeight="14.5" x14ac:dyDescent="0.35"/>
  <cols>
    <col min="11" max="11" width="12" customWidth="1"/>
  </cols>
  <sheetData>
    <row r="1" spans="1:11" x14ac:dyDescent="0.35">
      <c r="A1" s="450" t="s">
        <v>85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</row>
    <row r="2" spans="1:11" x14ac:dyDescent="0.35">
      <c r="A2" s="451" t="s">
        <v>1</v>
      </c>
      <c r="B2" s="451"/>
      <c r="C2" s="451"/>
      <c r="D2" s="452" t="s">
        <v>336</v>
      </c>
      <c r="E2" s="452"/>
      <c r="F2" s="452"/>
      <c r="G2" s="452"/>
      <c r="H2" s="452"/>
      <c r="I2" s="452"/>
      <c r="J2" s="452"/>
      <c r="K2" s="452"/>
    </row>
    <row r="3" spans="1:11" x14ac:dyDescent="0.35">
      <c r="A3" s="451" t="s">
        <v>2</v>
      </c>
      <c r="B3" s="451"/>
      <c r="C3" s="451"/>
      <c r="D3" s="453" t="s">
        <v>335</v>
      </c>
      <c r="E3" s="454"/>
      <c r="F3" s="454"/>
      <c r="G3" s="454"/>
      <c r="H3" s="454"/>
      <c r="I3" s="454"/>
      <c r="J3" s="454"/>
      <c r="K3" s="454"/>
    </row>
    <row r="4" spans="1:11" x14ac:dyDescent="0.35">
      <c r="A4" s="451" t="s">
        <v>3</v>
      </c>
      <c r="B4" s="451"/>
      <c r="C4" s="451"/>
      <c r="D4" s="455">
        <v>44887</v>
      </c>
      <c r="E4" s="455"/>
      <c r="F4" s="455"/>
      <c r="G4" s="52" t="s">
        <v>4</v>
      </c>
      <c r="H4" s="452" t="s">
        <v>330</v>
      </c>
      <c r="I4" s="452"/>
      <c r="J4" s="452"/>
      <c r="K4" s="452"/>
    </row>
    <row r="5" spans="1:11" x14ac:dyDescent="0.35">
      <c r="A5" s="456"/>
      <c r="B5" s="456"/>
      <c r="C5" s="456"/>
      <c r="D5" s="456"/>
      <c r="E5" s="456"/>
      <c r="F5" s="456"/>
      <c r="G5" s="456"/>
      <c r="H5" s="456"/>
      <c r="I5" s="456"/>
      <c r="J5" s="456"/>
      <c r="K5" s="456"/>
    </row>
    <row r="6" spans="1:11" x14ac:dyDescent="0.35">
      <c r="A6" s="451" t="s">
        <v>86</v>
      </c>
      <c r="B6" s="451"/>
      <c r="C6" s="451"/>
      <c r="D6" s="457" t="s">
        <v>198</v>
      </c>
      <c r="E6" s="457"/>
      <c r="F6" s="457"/>
      <c r="G6" s="457"/>
      <c r="H6" s="457"/>
      <c r="I6" s="457"/>
      <c r="J6" s="457"/>
      <c r="K6" s="457"/>
    </row>
    <row r="7" spans="1:11" x14ac:dyDescent="0.35">
      <c r="A7" s="458" t="s">
        <v>216</v>
      </c>
      <c r="B7" s="458"/>
      <c r="C7" s="458"/>
      <c r="D7" s="458"/>
      <c r="E7" s="458"/>
      <c r="F7" s="458"/>
      <c r="G7" s="458"/>
      <c r="H7" s="458"/>
      <c r="I7" s="458"/>
      <c r="J7" s="458"/>
      <c r="K7" s="458"/>
    </row>
    <row r="8" spans="1:11" x14ac:dyDescent="0.35">
      <c r="A8" s="57" t="s">
        <v>87</v>
      </c>
      <c r="B8" s="459" t="s">
        <v>88</v>
      </c>
      <c r="C8" s="459"/>
      <c r="D8" s="459"/>
      <c r="E8" s="460" t="s">
        <v>197</v>
      </c>
      <c r="F8" s="461"/>
      <c r="G8" s="461"/>
      <c r="H8" s="461"/>
      <c r="I8" s="461"/>
      <c r="J8" s="461"/>
      <c r="K8" s="462"/>
    </row>
    <row r="9" spans="1:11" x14ac:dyDescent="0.35">
      <c r="A9" s="57" t="s">
        <v>87</v>
      </c>
      <c r="B9" s="452" t="s">
        <v>5</v>
      </c>
      <c r="C9" s="452"/>
      <c r="D9" s="452"/>
      <c r="E9" s="452"/>
      <c r="F9" s="452"/>
      <c r="G9" s="452"/>
      <c r="H9" s="452"/>
      <c r="I9" s="452"/>
      <c r="J9" s="452"/>
      <c r="K9" s="60">
        <v>20</v>
      </c>
    </row>
    <row r="10" spans="1:11" x14ac:dyDescent="0.3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</row>
    <row r="11" spans="1:11" x14ac:dyDescent="0.35">
      <c r="A11" s="57" t="s">
        <v>87</v>
      </c>
      <c r="B11" s="452" t="s">
        <v>6</v>
      </c>
      <c r="C11" s="452"/>
      <c r="D11" s="452"/>
      <c r="E11" s="452"/>
      <c r="F11" s="452"/>
      <c r="G11" s="452"/>
      <c r="H11" s="452"/>
      <c r="I11" s="452"/>
      <c r="J11" s="452"/>
      <c r="K11" s="58" t="s">
        <v>175</v>
      </c>
    </row>
    <row r="12" spans="1:11" ht="18.5" x14ac:dyDescent="0.35">
      <c r="A12" s="463" t="s">
        <v>204</v>
      </c>
      <c r="B12" s="463"/>
      <c r="C12" s="463"/>
      <c r="D12" s="463"/>
      <c r="E12" s="463"/>
      <c r="F12" s="463"/>
      <c r="G12" s="463"/>
      <c r="H12" s="463"/>
      <c r="I12" s="463"/>
      <c r="J12" s="463"/>
      <c r="K12" s="463"/>
    </row>
    <row r="13" spans="1:11" x14ac:dyDescent="0.35">
      <c r="A13" s="451" t="s">
        <v>89</v>
      </c>
      <c r="B13" s="451"/>
      <c r="C13" s="451"/>
      <c r="D13" s="451"/>
      <c r="E13" s="451"/>
      <c r="F13" s="451"/>
      <c r="G13" s="451"/>
      <c r="H13" s="451"/>
      <c r="I13" s="451"/>
      <c r="J13" s="451"/>
      <c r="K13" s="451"/>
    </row>
    <row r="14" spans="1:11" x14ac:dyDescent="0.35">
      <c r="A14" s="37">
        <v>1</v>
      </c>
      <c r="B14" s="452" t="s">
        <v>90</v>
      </c>
      <c r="C14" s="452"/>
      <c r="D14" s="452"/>
      <c r="E14" s="452"/>
      <c r="F14" s="452"/>
      <c r="G14" s="452"/>
      <c r="H14" s="452"/>
      <c r="I14" s="452"/>
      <c r="J14" s="452"/>
      <c r="K14" s="92">
        <f>'Dados do Licitante'!F12</f>
        <v>2283.36</v>
      </c>
    </row>
    <row r="15" spans="1:11" x14ac:dyDescent="0.35">
      <c r="A15" s="37">
        <v>2</v>
      </c>
      <c r="B15" s="452" t="s">
        <v>7</v>
      </c>
      <c r="C15" s="452"/>
      <c r="D15" s="452"/>
      <c r="E15" s="452"/>
      <c r="F15" s="452"/>
      <c r="G15" s="452"/>
      <c r="H15" s="452"/>
      <c r="I15" s="452"/>
      <c r="J15" s="452"/>
      <c r="K15" s="65"/>
    </row>
    <row r="16" spans="1:11" x14ac:dyDescent="0.35">
      <c r="A16" s="37">
        <v>3</v>
      </c>
      <c r="B16" s="452" t="s">
        <v>8</v>
      </c>
      <c r="C16" s="452"/>
      <c r="D16" s="452"/>
      <c r="E16" s="452"/>
      <c r="F16" s="452"/>
      <c r="G16" s="452"/>
      <c r="H16" s="452"/>
      <c r="I16" s="452"/>
      <c r="J16" s="452"/>
      <c r="K16" s="66">
        <f>'Dados do Licitante'!F16</f>
        <v>44682</v>
      </c>
    </row>
    <row r="17" spans="1:11" x14ac:dyDescent="0.35">
      <c r="A17" s="37">
        <v>4</v>
      </c>
      <c r="B17" s="452" t="s">
        <v>91</v>
      </c>
      <c r="C17" s="452"/>
      <c r="D17" s="452"/>
      <c r="E17" s="452"/>
      <c r="F17" s="452"/>
      <c r="G17" s="452"/>
      <c r="H17" s="452"/>
      <c r="I17" s="452"/>
      <c r="J17" s="452"/>
      <c r="K17" s="68" t="str">
        <f>'Dados do Licitante'!F18</f>
        <v>5143-25</v>
      </c>
    </row>
    <row r="18" spans="1:11" x14ac:dyDescent="0.35">
      <c r="A18" s="2"/>
      <c r="B18" s="62"/>
      <c r="C18" s="62"/>
      <c r="D18" s="62"/>
      <c r="E18" s="62"/>
      <c r="F18" s="62"/>
      <c r="G18" s="62"/>
      <c r="H18" s="62"/>
      <c r="I18" s="62"/>
      <c r="J18" s="62"/>
      <c r="K18" s="2"/>
    </row>
    <row r="19" spans="1:11" x14ac:dyDescent="0.35">
      <c r="A19" s="465" t="s">
        <v>92</v>
      </c>
      <c r="B19" s="465"/>
      <c r="C19" s="465"/>
      <c r="D19" s="465"/>
      <c r="E19" s="465"/>
      <c r="F19" s="465"/>
      <c r="G19" s="465"/>
      <c r="H19" s="465"/>
      <c r="I19" s="465"/>
      <c r="J19" s="465"/>
      <c r="K19" s="95"/>
    </row>
    <row r="20" spans="1:11" x14ac:dyDescent="0.35">
      <c r="A20" s="37" t="s">
        <v>57</v>
      </c>
      <c r="B20" s="452" t="s">
        <v>93</v>
      </c>
      <c r="C20" s="452"/>
      <c r="D20" s="452"/>
      <c r="E20" s="452"/>
      <c r="F20" s="452"/>
      <c r="G20" s="452"/>
      <c r="H20" s="452"/>
      <c r="I20" s="452"/>
      <c r="J20" s="452"/>
      <c r="K20" s="96">
        <f>$K$14</f>
        <v>2283.36</v>
      </c>
    </row>
    <row r="21" spans="1:11" x14ac:dyDescent="0.35">
      <c r="A21" s="37" t="s">
        <v>60</v>
      </c>
      <c r="B21" s="466" t="s">
        <v>94</v>
      </c>
      <c r="C21" s="467"/>
      <c r="D21" s="468"/>
      <c r="E21" s="466" t="s">
        <v>95</v>
      </c>
      <c r="F21" s="467"/>
      <c r="G21" s="468"/>
      <c r="H21" s="469" t="s">
        <v>96</v>
      </c>
      <c r="I21" s="470"/>
      <c r="J21" s="71">
        <v>2</v>
      </c>
      <c r="K21" s="96">
        <f>IF($J$21=1,K20*0.3,0)</f>
        <v>0</v>
      </c>
    </row>
    <row r="22" spans="1:11" x14ac:dyDescent="0.35">
      <c r="A22" s="37" t="s">
        <v>64</v>
      </c>
      <c r="B22" s="454" t="s">
        <v>97</v>
      </c>
      <c r="C22" s="454"/>
      <c r="D22" s="454"/>
      <c r="E22" s="454"/>
      <c r="F22" s="454"/>
      <c r="G22" s="454"/>
      <c r="H22" s="454"/>
      <c r="I22" s="454"/>
      <c r="J22" s="454"/>
      <c r="K22" s="96"/>
    </row>
    <row r="23" spans="1:11" x14ac:dyDescent="0.35">
      <c r="A23" s="37" t="s">
        <v>66</v>
      </c>
      <c r="B23" s="452" t="s">
        <v>98</v>
      </c>
      <c r="C23" s="452"/>
      <c r="D23" s="452"/>
      <c r="E23" s="452"/>
      <c r="F23" s="452"/>
      <c r="G23" s="452"/>
      <c r="H23" s="452"/>
      <c r="I23" s="452"/>
      <c r="J23" s="452"/>
      <c r="K23" s="96"/>
    </row>
    <row r="24" spans="1:11" x14ac:dyDescent="0.35">
      <c r="A24" s="37" t="s">
        <v>68</v>
      </c>
      <c r="B24" s="452" t="s">
        <v>99</v>
      </c>
      <c r="C24" s="452"/>
      <c r="D24" s="452"/>
      <c r="E24" s="452"/>
      <c r="F24" s="452"/>
      <c r="G24" s="452"/>
      <c r="H24" s="452"/>
      <c r="I24" s="452"/>
      <c r="J24" s="452"/>
      <c r="K24" s="96"/>
    </row>
    <row r="25" spans="1:11" x14ac:dyDescent="0.35">
      <c r="A25" s="37" t="s">
        <v>70</v>
      </c>
      <c r="B25" s="452" t="s">
        <v>53</v>
      </c>
      <c r="C25" s="452"/>
      <c r="D25" s="452"/>
      <c r="E25" s="452"/>
      <c r="F25" s="452"/>
      <c r="G25" s="452"/>
      <c r="H25" s="452"/>
      <c r="I25" s="452"/>
      <c r="J25" s="452"/>
      <c r="K25" s="96"/>
    </row>
    <row r="26" spans="1:11" x14ac:dyDescent="0.35">
      <c r="A26" s="464" t="s">
        <v>100</v>
      </c>
      <c r="B26" s="464"/>
      <c r="C26" s="464"/>
      <c r="D26" s="464"/>
      <c r="E26" s="464"/>
      <c r="F26" s="464"/>
      <c r="G26" s="464"/>
      <c r="H26" s="464"/>
      <c r="I26" s="464"/>
      <c r="J26" s="464"/>
      <c r="K26" s="97">
        <f>SUM(K20:K25)</f>
        <v>2283.36</v>
      </c>
    </row>
    <row r="27" spans="1:11" x14ac:dyDescent="0.35">
      <c r="A27" s="94"/>
      <c r="B27" s="94"/>
      <c r="C27" s="94"/>
      <c r="D27" s="94"/>
      <c r="E27" s="94"/>
      <c r="F27" s="94"/>
      <c r="G27" s="94"/>
      <c r="H27" s="94"/>
      <c r="I27" s="94"/>
      <c r="J27" s="94"/>
      <c r="K27" s="94"/>
    </row>
    <row r="28" spans="1:11" x14ac:dyDescent="0.35">
      <c r="A28" s="465" t="s">
        <v>101</v>
      </c>
      <c r="B28" s="465"/>
      <c r="C28" s="465"/>
      <c r="D28" s="465"/>
      <c r="E28" s="465"/>
      <c r="F28" s="465"/>
      <c r="G28" s="465"/>
      <c r="H28" s="465"/>
      <c r="I28" s="465"/>
      <c r="J28" s="465"/>
      <c r="K28" s="473"/>
    </row>
    <row r="29" spans="1:11" x14ac:dyDescent="0.35">
      <c r="A29" s="472" t="s">
        <v>102</v>
      </c>
      <c r="B29" s="472"/>
      <c r="C29" s="472"/>
      <c r="D29" s="472"/>
      <c r="E29" s="472"/>
      <c r="F29" s="472"/>
      <c r="G29" s="472"/>
      <c r="H29" s="472"/>
      <c r="I29" s="472"/>
      <c r="J29" s="472"/>
      <c r="K29" s="474"/>
    </row>
    <row r="30" spans="1:11" x14ac:dyDescent="0.35">
      <c r="A30" s="37" t="s">
        <v>57</v>
      </c>
      <c r="B30" s="476" t="s">
        <v>103</v>
      </c>
      <c r="C30" s="476"/>
      <c r="D30" s="476"/>
      <c r="E30" s="476"/>
      <c r="F30" s="476"/>
      <c r="G30" s="476"/>
      <c r="H30" s="476"/>
      <c r="I30" s="476"/>
      <c r="J30" s="73">
        <v>8.3299999999999999E-2</v>
      </c>
      <c r="K30" s="96">
        <f>TRUNC(K26*$J$30,2)</f>
        <v>190.2</v>
      </c>
    </row>
    <row r="31" spans="1:11" x14ac:dyDescent="0.35">
      <c r="A31" s="37" t="s">
        <v>60</v>
      </c>
      <c r="B31" s="454" t="s">
        <v>104</v>
      </c>
      <c r="C31" s="454"/>
      <c r="D31" s="454"/>
      <c r="E31" s="454"/>
      <c r="F31" s="454"/>
      <c r="G31" s="454"/>
      <c r="H31" s="454"/>
      <c r="I31" s="454"/>
      <c r="J31" s="73">
        <v>3.0300000000000001E-2</v>
      </c>
      <c r="K31" s="96">
        <f>TRUNC(K26*$J$31,2)</f>
        <v>69.180000000000007</v>
      </c>
    </row>
    <row r="32" spans="1:11" x14ac:dyDescent="0.35">
      <c r="A32" s="69"/>
      <c r="B32" s="477"/>
      <c r="C32" s="477"/>
      <c r="D32" s="477"/>
      <c r="E32" s="477"/>
      <c r="F32" s="477"/>
      <c r="G32" s="477"/>
      <c r="H32" s="477"/>
      <c r="I32" s="477"/>
      <c r="J32" s="74">
        <f>J30+J31</f>
        <v>0.11360000000000001</v>
      </c>
      <c r="K32" s="102">
        <f>TRUNC(K26*$J$32,2)</f>
        <v>259.38</v>
      </c>
    </row>
    <row r="33" spans="1:11" x14ac:dyDescent="0.35">
      <c r="A33" s="478"/>
      <c r="B33" s="478"/>
      <c r="C33" s="478"/>
      <c r="D33" s="478"/>
      <c r="E33" s="478"/>
      <c r="F33" s="478"/>
      <c r="G33" s="478"/>
      <c r="H33" s="478"/>
      <c r="I33" s="478"/>
      <c r="J33" s="478"/>
      <c r="K33" s="478"/>
    </row>
    <row r="34" spans="1:11" ht="25" customHeight="1" x14ac:dyDescent="0.35">
      <c r="A34" s="479" t="s">
        <v>105</v>
      </c>
      <c r="B34" s="479"/>
      <c r="C34" s="479"/>
      <c r="D34" s="479"/>
      <c r="E34" s="479"/>
      <c r="F34" s="479"/>
      <c r="G34" s="479"/>
      <c r="H34" s="479"/>
      <c r="I34" s="479"/>
      <c r="J34" s="479"/>
      <c r="K34" s="103"/>
    </row>
    <row r="35" spans="1:11" x14ac:dyDescent="0.35">
      <c r="A35" s="480" t="s">
        <v>106</v>
      </c>
      <c r="B35" s="480"/>
      <c r="C35" s="480"/>
      <c r="D35" s="480"/>
      <c r="E35" s="480"/>
      <c r="F35" s="480"/>
      <c r="G35" s="480"/>
      <c r="H35" s="480"/>
      <c r="I35" s="480"/>
      <c r="J35" s="480"/>
      <c r="K35" s="104">
        <f>K26+K32</f>
        <v>2542.7400000000002</v>
      </c>
    </row>
    <row r="36" spans="1:11" x14ac:dyDescent="0.35">
      <c r="A36" s="475" t="s">
        <v>107</v>
      </c>
      <c r="B36" s="475"/>
      <c r="C36" s="475"/>
      <c r="D36" s="475"/>
      <c r="E36" s="475"/>
      <c r="F36" s="475"/>
      <c r="G36" s="475"/>
      <c r="H36" s="475"/>
      <c r="I36" s="475"/>
      <c r="J36" s="75">
        <f>SUM(J37:J44)</f>
        <v>0.3680000000000001</v>
      </c>
      <c r="K36" s="105">
        <f>SUM(K37:K44)</f>
        <v>935.68</v>
      </c>
    </row>
    <row r="37" spans="1:11" x14ac:dyDescent="0.35">
      <c r="A37" s="37" t="s">
        <v>57</v>
      </c>
      <c r="B37" s="452" t="s">
        <v>108</v>
      </c>
      <c r="C37" s="452"/>
      <c r="D37" s="452"/>
      <c r="E37" s="452"/>
      <c r="F37" s="452"/>
      <c r="G37" s="452"/>
      <c r="H37" s="452"/>
      <c r="I37" s="452"/>
      <c r="J37" s="76">
        <v>0.2</v>
      </c>
      <c r="K37" s="105">
        <f t="shared" ref="K37:K44" si="0">TRUNC(K$35*$J37,2)</f>
        <v>508.54</v>
      </c>
    </row>
    <row r="38" spans="1:11" x14ac:dyDescent="0.35">
      <c r="A38" s="37" t="s">
        <v>60</v>
      </c>
      <c r="B38" s="452" t="s">
        <v>109</v>
      </c>
      <c r="C38" s="452"/>
      <c r="D38" s="452"/>
      <c r="E38" s="452"/>
      <c r="F38" s="452"/>
      <c r="G38" s="452"/>
      <c r="H38" s="452"/>
      <c r="I38" s="452"/>
      <c r="J38" s="76">
        <v>1.4999999999999999E-2</v>
      </c>
      <c r="K38" s="105">
        <f t="shared" si="0"/>
        <v>38.14</v>
      </c>
    </row>
    <row r="39" spans="1:11" x14ac:dyDescent="0.35">
      <c r="A39" s="37" t="s">
        <v>64</v>
      </c>
      <c r="B39" s="452" t="s">
        <v>110</v>
      </c>
      <c r="C39" s="452"/>
      <c r="D39" s="452"/>
      <c r="E39" s="452"/>
      <c r="F39" s="452"/>
      <c r="G39" s="452"/>
      <c r="H39" s="452"/>
      <c r="I39" s="452"/>
      <c r="J39" s="76">
        <v>0.01</v>
      </c>
      <c r="K39" s="105">
        <f t="shared" si="0"/>
        <v>25.42</v>
      </c>
    </row>
    <row r="40" spans="1:11" x14ac:dyDescent="0.35">
      <c r="A40" s="37" t="s">
        <v>66</v>
      </c>
      <c r="B40" s="452" t="s">
        <v>111</v>
      </c>
      <c r="C40" s="452"/>
      <c r="D40" s="452"/>
      <c r="E40" s="452"/>
      <c r="F40" s="452"/>
      <c r="G40" s="452"/>
      <c r="H40" s="452"/>
      <c r="I40" s="452"/>
      <c r="J40" s="76">
        <v>2E-3</v>
      </c>
      <c r="K40" s="105">
        <f t="shared" si="0"/>
        <v>5.08</v>
      </c>
    </row>
    <row r="41" spans="1:11" x14ac:dyDescent="0.35">
      <c r="A41" s="37" t="s">
        <v>68</v>
      </c>
      <c r="B41" s="452" t="s">
        <v>112</v>
      </c>
      <c r="C41" s="452"/>
      <c r="D41" s="452"/>
      <c r="E41" s="452"/>
      <c r="F41" s="452"/>
      <c r="G41" s="452"/>
      <c r="H41" s="452"/>
      <c r="I41" s="452"/>
      <c r="J41" s="76">
        <v>2.5000000000000001E-2</v>
      </c>
      <c r="K41" s="105">
        <f t="shared" si="0"/>
        <v>63.56</v>
      </c>
    </row>
    <row r="42" spans="1:11" x14ac:dyDescent="0.35">
      <c r="A42" s="37" t="s">
        <v>70</v>
      </c>
      <c r="B42" s="452" t="s">
        <v>113</v>
      </c>
      <c r="C42" s="452"/>
      <c r="D42" s="452"/>
      <c r="E42" s="452"/>
      <c r="F42" s="452"/>
      <c r="G42" s="452"/>
      <c r="H42" s="452"/>
      <c r="I42" s="452"/>
      <c r="J42" s="76">
        <v>0.08</v>
      </c>
      <c r="K42" s="105">
        <f t="shared" si="0"/>
        <v>203.41</v>
      </c>
    </row>
    <row r="43" spans="1:11" x14ac:dyDescent="0.35">
      <c r="A43" s="37" t="s">
        <v>72</v>
      </c>
      <c r="B43" s="452" t="s">
        <v>114</v>
      </c>
      <c r="C43" s="452"/>
      <c r="D43" s="452"/>
      <c r="E43" s="452"/>
      <c r="F43" s="77">
        <f>'Dados do Licitante'!E22</f>
        <v>0.03</v>
      </c>
      <c r="G43" s="70" t="s">
        <v>11</v>
      </c>
      <c r="H43" s="481">
        <f>'Dados do Licitante'!G22</f>
        <v>1</v>
      </c>
      <c r="I43" s="482"/>
      <c r="J43" s="76">
        <f>ROUND(F43*H43,2)</f>
        <v>0.03</v>
      </c>
      <c r="K43" s="105">
        <f t="shared" si="0"/>
        <v>76.28</v>
      </c>
    </row>
    <row r="44" spans="1:11" x14ac:dyDescent="0.35">
      <c r="A44" s="91" t="s">
        <v>115</v>
      </c>
      <c r="B44" s="126" t="s">
        <v>116</v>
      </c>
      <c r="C44" s="483"/>
      <c r="D44" s="483"/>
      <c r="E44" s="483"/>
      <c r="F44" s="483"/>
      <c r="G44" s="483"/>
      <c r="H44" s="483"/>
      <c r="I44" s="483"/>
      <c r="J44" s="127">
        <v>6.0000000000000001E-3</v>
      </c>
      <c r="K44" s="128">
        <f t="shared" si="0"/>
        <v>15.25</v>
      </c>
    </row>
    <row r="45" spans="1:11" x14ac:dyDescent="0.35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</row>
    <row r="46" spans="1:11" x14ac:dyDescent="0.35">
      <c r="A46" s="484" t="s">
        <v>117</v>
      </c>
      <c r="B46" s="484"/>
      <c r="C46" s="484"/>
      <c r="D46" s="484"/>
      <c r="E46" s="484"/>
      <c r="F46" s="484"/>
      <c r="G46" s="484"/>
      <c r="H46" s="484"/>
      <c r="I46" s="484"/>
      <c r="J46" s="484"/>
      <c r="K46" s="129"/>
    </row>
    <row r="47" spans="1:11" x14ac:dyDescent="0.35">
      <c r="A47" s="37" t="s">
        <v>57</v>
      </c>
      <c r="B47" s="454" t="s">
        <v>24</v>
      </c>
      <c r="C47" s="454"/>
      <c r="D47" s="454"/>
      <c r="E47" s="454"/>
      <c r="F47" s="454"/>
      <c r="G47" s="454"/>
      <c r="H47" s="454"/>
      <c r="I47" s="454"/>
      <c r="J47" s="454"/>
      <c r="K47" s="96">
        <f>'Dados do Licitante'!K36</f>
        <v>188.02096</v>
      </c>
    </row>
    <row r="48" spans="1:11" x14ac:dyDescent="0.35">
      <c r="A48" s="37" t="s">
        <v>60</v>
      </c>
      <c r="B48" s="454" t="s">
        <v>33</v>
      </c>
      <c r="C48" s="454"/>
      <c r="D48" s="454"/>
      <c r="E48" s="454"/>
      <c r="F48" s="454"/>
      <c r="G48" s="454"/>
      <c r="H48" s="454"/>
      <c r="I48" s="454"/>
      <c r="J48" s="454"/>
      <c r="K48" s="96">
        <f>'Dados do Licitante'!G46</f>
        <v>568.83013199999994</v>
      </c>
    </row>
    <row r="49" spans="1:11" x14ac:dyDescent="0.35">
      <c r="A49" s="37" t="s">
        <v>64</v>
      </c>
      <c r="B49" s="454" t="s">
        <v>218</v>
      </c>
      <c r="C49" s="454"/>
      <c r="D49" s="454"/>
      <c r="E49" s="454"/>
      <c r="F49" s="454"/>
      <c r="G49" s="454"/>
      <c r="H49" s="454"/>
      <c r="I49" s="454"/>
      <c r="J49" s="454"/>
      <c r="K49" s="96">
        <f>'Dados do Licitante'!G50</f>
        <v>22.833600000000001</v>
      </c>
    </row>
    <row r="50" spans="1:11" x14ac:dyDescent="0.35">
      <c r="A50" s="37" t="s">
        <v>66</v>
      </c>
      <c r="B50" s="454" t="s">
        <v>41</v>
      </c>
      <c r="C50" s="454"/>
      <c r="D50" s="454"/>
      <c r="E50" s="454"/>
      <c r="F50" s="454"/>
      <c r="G50" s="454"/>
      <c r="H50" s="454"/>
      <c r="I50" s="454"/>
      <c r="J50" s="454"/>
      <c r="K50" s="96">
        <f>'Dados do Licitante'!E52</f>
        <v>0</v>
      </c>
    </row>
    <row r="51" spans="1:11" x14ac:dyDescent="0.35">
      <c r="A51" s="37" t="s">
        <v>68</v>
      </c>
      <c r="B51" s="454" t="s">
        <v>219</v>
      </c>
      <c r="C51" s="454"/>
      <c r="D51" s="454"/>
      <c r="E51" s="454"/>
      <c r="F51" s="454"/>
      <c r="G51" s="454"/>
      <c r="H51" s="454"/>
      <c r="I51" s="454"/>
      <c r="J51" s="454"/>
      <c r="K51" s="96">
        <f>'Dados do Licitante'!F56</f>
        <v>0</v>
      </c>
    </row>
    <row r="52" spans="1:11" x14ac:dyDescent="0.35">
      <c r="A52" s="37" t="s">
        <v>70</v>
      </c>
      <c r="B52" s="454" t="s">
        <v>220</v>
      </c>
      <c r="C52" s="454"/>
      <c r="D52" s="454"/>
      <c r="E52" s="454"/>
      <c r="F52" s="454"/>
      <c r="G52" s="454"/>
      <c r="H52" s="454"/>
      <c r="I52" s="454"/>
      <c r="J52" s="454"/>
      <c r="K52" s="96">
        <f>'Dados do Licitante'!G60</f>
        <v>10.33</v>
      </c>
    </row>
    <row r="53" spans="1:11" x14ac:dyDescent="0.35">
      <c r="A53" s="37" t="s">
        <v>72</v>
      </c>
      <c r="B53" s="454" t="s">
        <v>221</v>
      </c>
      <c r="C53" s="454"/>
      <c r="D53" s="454"/>
      <c r="E53" s="454"/>
      <c r="F53" s="454"/>
      <c r="G53" s="454"/>
      <c r="H53" s="454"/>
      <c r="I53" s="454"/>
      <c r="J53" s="454"/>
      <c r="K53" s="96">
        <f>'Dados do Licitante'!E62</f>
        <v>0</v>
      </c>
    </row>
    <row r="54" spans="1:11" x14ac:dyDescent="0.35">
      <c r="A54" s="37" t="s">
        <v>115</v>
      </c>
      <c r="B54" s="454" t="s">
        <v>222</v>
      </c>
      <c r="C54" s="454"/>
      <c r="D54" s="454"/>
      <c r="E54" s="454"/>
      <c r="F54" s="454"/>
      <c r="G54" s="454"/>
      <c r="H54" s="454"/>
      <c r="I54" s="454"/>
      <c r="J54" s="454"/>
      <c r="K54" s="96">
        <f>'Dados do Licitante'!E64</f>
        <v>0</v>
      </c>
    </row>
    <row r="55" spans="1:11" x14ac:dyDescent="0.35">
      <c r="A55" s="37" t="s">
        <v>118</v>
      </c>
      <c r="B55" s="454" t="s">
        <v>223</v>
      </c>
      <c r="C55" s="454"/>
      <c r="D55" s="454"/>
      <c r="E55" s="454"/>
      <c r="F55" s="454"/>
      <c r="G55" s="454"/>
      <c r="H55" s="454"/>
      <c r="I55" s="454"/>
      <c r="J55" s="454"/>
      <c r="K55" s="96">
        <f>'Dados do Licitante'!E66</f>
        <v>0</v>
      </c>
    </row>
    <row r="56" spans="1:11" x14ac:dyDescent="0.35">
      <c r="A56" s="37"/>
      <c r="B56" s="450" t="s">
        <v>119</v>
      </c>
      <c r="C56" s="450"/>
      <c r="D56" s="450"/>
      <c r="E56" s="450"/>
      <c r="F56" s="450"/>
      <c r="G56" s="450"/>
      <c r="H56" s="450"/>
      <c r="I56" s="450"/>
      <c r="J56" s="450"/>
      <c r="K56" s="102">
        <f>SUM(K47:K55)</f>
        <v>790.01469199999997</v>
      </c>
    </row>
    <row r="57" spans="1:11" x14ac:dyDescent="0.35">
      <c r="A57" s="478"/>
      <c r="B57" s="478"/>
      <c r="C57" s="478"/>
      <c r="D57" s="478"/>
      <c r="E57" s="478"/>
      <c r="F57" s="478"/>
      <c r="G57" s="478"/>
      <c r="H57" s="478"/>
      <c r="I57" s="478"/>
      <c r="J57" s="478"/>
      <c r="K57" s="478"/>
    </row>
    <row r="58" spans="1:11" x14ac:dyDescent="0.35">
      <c r="A58" s="465" t="s">
        <v>120</v>
      </c>
      <c r="B58" s="465"/>
      <c r="C58" s="465"/>
      <c r="D58" s="465"/>
      <c r="E58" s="465"/>
      <c r="F58" s="465"/>
      <c r="G58" s="465"/>
      <c r="H58" s="465"/>
      <c r="I58" s="465"/>
      <c r="J58" s="465"/>
      <c r="K58" s="103"/>
    </row>
    <row r="59" spans="1:11" x14ac:dyDescent="0.35">
      <c r="A59" s="37" t="s">
        <v>121</v>
      </c>
      <c r="B59" s="454" t="s">
        <v>122</v>
      </c>
      <c r="C59" s="454"/>
      <c r="D59" s="454"/>
      <c r="E59" s="454"/>
      <c r="F59" s="454"/>
      <c r="G59" s="454"/>
      <c r="H59" s="454"/>
      <c r="I59" s="454"/>
      <c r="J59" s="73">
        <f>J32</f>
        <v>0.11360000000000001</v>
      </c>
      <c r="K59" s="96">
        <f>K32</f>
        <v>259.38</v>
      </c>
    </row>
    <row r="60" spans="1:11" x14ac:dyDescent="0.35">
      <c r="A60" s="37" t="s">
        <v>123</v>
      </c>
      <c r="B60" s="454" t="s">
        <v>124</v>
      </c>
      <c r="C60" s="454"/>
      <c r="D60" s="454"/>
      <c r="E60" s="454"/>
      <c r="F60" s="454"/>
      <c r="G60" s="454"/>
      <c r="H60" s="454"/>
      <c r="I60" s="454"/>
      <c r="J60" s="73">
        <f>J36</f>
        <v>0.3680000000000001</v>
      </c>
      <c r="K60" s="96">
        <f>K36</f>
        <v>935.68</v>
      </c>
    </row>
    <row r="61" spans="1:11" x14ac:dyDescent="0.35">
      <c r="A61" s="37" t="s">
        <v>125</v>
      </c>
      <c r="B61" s="454" t="s">
        <v>126</v>
      </c>
      <c r="C61" s="454"/>
      <c r="D61" s="454"/>
      <c r="E61" s="454"/>
      <c r="F61" s="454"/>
      <c r="G61" s="454"/>
      <c r="H61" s="454"/>
      <c r="I61" s="454"/>
      <c r="J61" s="454"/>
      <c r="K61" s="96">
        <f>K56</f>
        <v>790.01469199999997</v>
      </c>
    </row>
    <row r="62" spans="1:11" x14ac:dyDescent="0.35">
      <c r="A62" s="72"/>
      <c r="B62" s="464" t="s">
        <v>119</v>
      </c>
      <c r="C62" s="464"/>
      <c r="D62" s="464"/>
      <c r="E62" s="464"/>
      <c r="F62" s="464"/>
      <c r="G62" s="464"/>
      <c r="H62" s="464"/>
      <c r="I62" s="464"/>
      <c r="J62" s="464"/>
      <c r="K62" s="97">
        <f>K59+K60+K61</f>
        <v>1985.0746919999999</v>
      </c>
    </row>
    <row r="63" spans="1:11" x14ac:dyDescent="0.35">
      <c r="A63" s="478"/>
      <c r="B63" s="478"/>
      <c r="C63" s="478"/>
      <c r="D63" s="478"/>
      <c r="E63" s="478"/>
      <c r="F63" s="478"/>
      <c r="G63" s="478"/>
      <c r="H63" s="478"/>
      <c r="I63" s="478"/>
      <c r="J63" s="478"/>
      <c r="K63" s="478"/>
    </row>
    <row r="64" spans="1:11" x14ac:dyDescent="0.35">
      <c r="A64" s="479" t="s">
        <v>127</v>
      </c>
      <c r="B64" s="479"/>
      <c r="C64" s="479"/>
      <c r="D64" s="479"/>
      <c r="E64" s="479"/>
      <c r="F64" s="479"/>
      <c r="G64" s="479"/>
      <c r="H64" s="479"/>
      <c r="I64" s="479"/>
      <c r="J64" s="479"/>
      <c r="K64" s="103"/>
    </row>
    <row r="65" spans="1:11" x14ac:dyDescent="0.35">
      <c r="A65" s="486" t="s">
        <v>128</v>
      </c>
      <c r="B65" s="486"/>
      <c r="C65" s="486"/>
      <c r="D65" s="486"/>
      <c r="E65" s="486"/>
      <c r="F65" s="486"/>
      <c r="G65" s="486"/>
      <c r="H65" s="486"/>
      <c r="I65" s="486"/>
      <c r="J65" s="486"/>
      <c r="K65" s="110">
        <f>K35</f>
        <v>2542.7400000000002</v>
      </c>
    </row>
    <row r="66" spans="1:11" x14ac:dyDescent="0.35">
      <c r="A66" s="37" t="s">
        <v>57</v>
      </c>
      <c r="B66" s="490" t="s">
        <v>129</v>
      </c>
      <c r="C66" s="490"/>
      <c r="D66" s="79">
        <v>30</v>
      </c>
      <c r="E66" s="80" t="s">
        <v>130</v>
      </c>
      <c r="F66" s="491" t="s">
        <v>131</v>
      </c>
      <c r="G66" s="492"/>
      <c r="H66" s="493">
        <f>'Dados do Licitante'!G69</f>
        <v>5.5500000000000001E-2</v>
      </c>
      <c r="I66" s="494"/>
      <c r="J66" s="81">
        <f>D66/360*H66</f>
        <v>4.6249999999999998E-3</v>
      </c>
      <c r="K66" s="96">
        <f>TRUNC(K$65*$J66,2)</f>
        <v>11.76</v>
      </c>
    </row>
    <row r="67" spans="1:11" x14ac:dyDescent="0.35">
      <c r="A67" s="37" t="s">
        <v>60</v>
      </c>
      <c r="B67" s="495" t="s">
        <v>132</v>
      </c>
      <c r="C67" s="495"/>
      <c r="D67" s="495"/>
      <c r="E67" s="495"/>
      <c r="F67" s="495"/>
      <c r="G67" s="495"/>
      <c r="H67" s="495"/>
      <c r="I67" s="495"/>
      <c r="J67" s="81">
        <f>J42*J66</f>
        <v>3.6999999999999999E-4</v>
      </c>
      <c r="K67" s="96">
        <f>TRUNC(K$65*$J67,2)</f>
        <v>0.94</v>
      </c>
    </row>
    <row r="68" spans="1:11" x14ac:dyDescent="0.35">
      <c r="A68" s="37" t="s">
        <v>64</v>
      </c>
      <c r="B68" s="454" t="s">
        <v>133</v>
      </c>
      <c r="C68" s="454"/>
      <c r="D68" s="454"/>
      <c r="E68" s="454"/>
      <c r="F68" s="496" t="s">
        <v>131</v>
      </c>
      <c r="G68" s="496"/>
      <c r="H68" s="497">
        <f>'Dados do Licitante'!G70</f>
        <v>0.94450000000000001</v>
      </c>
      <c r="I68" s="498"/>
      <c r="J68" s="82">
        <f>7/30/K9*H68</f>
        <v>1.1019166666666667E-2</v>
      </c>
      <c r="K68" s="96">
        <f>TRUNC(K$65*$J68,2)</f>
        <v>28.01</v>
      </c>
    </row>
    <row r="69" spans="1:11" x14ac:dyDescent="0.35">
      <c r="A69" s="37" t="s">
        <v>66</v>
      </c>
      <c r="B69" s="485" t="s">
        <v>134</v>
      </c>
      <c r="C69" s="485"/>
      <c r="D69" s="485"/>
      <c r="E69" s="485"/>
      <c r="F69" s="485"/>
      <c r="G69" s="485"/>
      <c r="H69" s="485"/>
      <c r="I69" s="485"/>
      <c r="J69" s="81">
        <f>J68*J36</f>
        <v>4.0550533333333343E-3</v>
      </c>
      <c r="K69" s="96">
        <f>TRUNC(K$65*$J69,2)</f>
        <v>10.31</v>
      </c>
    </row>
    <row r="70" spans="1:11" x14ac:dyDescent="0.35">
      <c r="A70" s="486" t="s">
        <v>135</v>
      </c>
      <c r="B70" s="487"/>
      <c r="C70" s="487"/>
      <c r="D70" s="487"/>
      <c r="E70" s="487"/>
      <c r="F70" s="487"/>
      <c r="G70" s="487"/>
      <c r="H70" s="487"/>
      <c r="I70" s="487"/>
      <c r="J70" s="488"/>
      <c r="K70" s="110">
        <f>K26</f>
        <v>2283.36</v>
      </c>
    </row>
    <row r="71" spans="1:11" x14ac:dyDescent="0.35">
      <c r="A71" s="37" t="s">
        <v>68</v>
      </c>
      <c r="B71" s="454" t="s">
        <v>136</v>
      </c>
      <c r="C71" s="454"/>
      <c r="D71" s="454"/>
      <c r="E71" s="454"/>
      <c r="F71" s="454"/>
      <c r="G71" s="454"/>
      <c r="H71" s="454"/>
      <c r="I71" s="454"/>
      <c r="J71" s="73">
        <v>0.04</v>
      </c>
      <c r="K71" s="96">
        <f>TRUNC(K70*$J71,2)</f>
        <v>91.33</v>
      </c>
    </row>
    <row r="72" spans="1:11" x14ac:dyDescent="0.35">
      <c r="A72" s="464" t="s">
        <v>119</v>
      </c>
      <c r="B72" s="464"/>
      <c r="C72" s="464"/>
      <c r="D72" s="464"/>
      <c r="E72" s="464"/>
      <c r="F72" s="464"/>
      <c r="G72" s="464"/>
      <c r="H72" s="464"/>
      <c r="I72" s="464"/>
      <c r="J72" s="83"/>
      <c r="K72" s="97">
        <f>K66+K67+K68+K69+K71</f>
        <v>142.35</v>
      </c>
    </row>
    <row r="73" spans="1:11" x14ac:dyDescent="0.35">
      <c r="A73" s="478"/>
      <c r="B73" s="478"/>
      <c r="C73" s="478"/>
      <c r="D73" s="478"/>
      <c r="E73" s="478"/>
      <c r="F73" s="478"/>
      <c r="G73" s="478"/>
      <c r="H73" s="478"/>
      <c r="I73" s="478"/>
      <c r="J73" s="478"/>
      <c r="K73" s="478"/>
    </row>
    <row r="74" spans="1:11" x14ac:dyDescent="0.35">
      <c r="A74" s="465" t="s">
        <v>137</v>
      </c>
      <c r="B74" s="465"/>
      <c r="C74" s="465"/>
      <c r="D74" s="465"/>
      <c r="E74" s="465"/>
      <c r="F74" s="465"/>
      <c r="G74" s="465"/>
      <c r="H74" s="465"/>
      <c r="I74" s="465"/>
      <c r="J74" s="465"/>
      <c r="K74" s="489"/>
    </row>
    <row r="75" spans="1:11" x14ac:dyDescent="0.35">
      <c r="A75" s="465" t="s">
        <v>138</v>
      </c>
      <c r="B75" s="465"/>
      <c r="C75" s="465"/>
      <c r="D75" s="465"/>
      <c r="E75" s="465"/>
      <c r="F75" s="465"/>
      <c r="G75" s="465"/>
      <c r="H75" s="465"/>
      <c r="I75" s="465"/>
      <c r="J75" s="465"/>
      <c r="K75" s="489"/>
    </row>
    <row r="76" spans="1:11" x14ac:dyDescent="0.35">
      <c r="A76" s="501" t="s">
        <v>139</v>
      </c>
      <c r="B76" s="487"/>
      <c r="C76" s="487"/>
      <c r="D76" s="487"/>
      <c r="E76" s="487"/>
      <c r="F76" s="487"/>
      <c r="G76" s="487"/>
      <c r="H76" s="487"/>
      <c r="I76" s="487"/>
      <c r="J76" s="488"/>
      <c r="K76" s="110">
        <f>K26+K36</f>
        <v>3219.04</v>
      </c>
    </row>
    <row r="77" spans="1:11" x14ac:dyDescent="0.35">
      <c r="A77" s="37" t="s">
        <v>57</v>
      </c>
      <c r="B77" s="454" t="s">
        <v>140</v>
      </c>
      <c r="C77" s="454"/>
      <c r="D77" s="454"/>
      <c r="E77" s="454"/>
      <c r="F77" s="454"/>
      <c r="G77" s="454"/>
      <c r="H77" s="454"/>
      <c r="I77" s="454"/>
      <c r="J77" s="73">
        <v>9.0899999999999995E-2</v>
      </c>
      <c r="K77" s="96">
        <f>TRUNC(K76*$J77,2)</f>
        <v>292.61</v>
      </c>
    </row>
    <row r="78" spans="1:11" x14ac:dyDescent="0.35">
      <c r="A78" s="486" t="s">
        <v>141</v>
      </c>
      <c r="B78" s="486"/>
      <c r="C78" s="486"/>
      <c r="D78" s="486"/>
      <c r="E78" s="486"/>
      <c r="F78" s="486"/>
      <c r="G78" s="486"/>
      <c r="H78" s="486"/>
      <c r="I78" s="486"/>
      <c r="J78" s="486"/>
      <c r="K78" s="110">
        <f>K26+K62-(K47+K48)+K72</f>
        <v>3653.9335999999998</v>
      </c>
    </row>
    <row r="79" spans="1:11" x14ac:dyDescent="0.35">
      <c r="A79" s="37" t="s">
        <v>60</v>
      </c>
      <c r="B79" s="454" t="s">
        <v>142</v>
      </c>
      <c r="C79" s="454"/>
      <c r="D79" s="454"/>
      <c r="E79" s="454"/>
      <c r="F79" s="454"/>
      <c r="G79" s="454"/>
      <c r="H79" s="454"/>
      <c r="I79" s="454"/>
      <c r="J79" s="81">
        <f>'Dados do Licitante'!H74</f>
        <v>8.21917808219178E-3</v>
      </c>
      <c r="K79" s="96">
        <f t="shared" ref="K79:K84" si="1">TRUNC(K$78*$J79,2)</f>
        <v>30.03</v>
      </c>
    </row>
    <row r="80" spans="1:11" x14ac:dyDescent="0.35">
      <c r="A80" s="37" t="s">
        <v>64</v>
      </c>
      <c r="B80" s="454" t="s">
        <v>143</v>
      </c>
      <c r="C80" s="454"/>
      <c r="D80" s="454"/>
      <c r="E80" s="454"/>
      <c r="F80" s="454"/>
      <c r="G80" s="454"/>
      <c r="H80" s="454"/>
      <c r="I80" s="454"/>
      <c r="J80" s="81">
        <f>'Dados do Licitante'!H75</f>
        <v>8.21917808219178E-3</v>
      </c>
      <c r="K80" s="96">
        <f t="shared" si="1"/>
        <v>30.03</v>
      </c>
    </row>
    <row r="81" spans="1:11" x14ac:dyDescent="0.35">
      <c r="A81" s="37" t="s">
        <v>66</v>
      </c>
      <c r="B81" s="454" t="s">
        <v>144</v>
      </c>
      <c r="C81" s="454"/>
      <c r="D81" s="454"/>
      <c r="E81" s="454"/>
      <c r="F81" s="454"/>
      <c r="G81" s="454"/>
      <c r="H81" s="454"/>
      <c r="I81" s="454"/>
      <c r="J81" s="81">
        <f>'Dados do Licitante'!H76</f>
        <v>8.1205479452054787E-4</v>
      </c>
      <c r="K81" s="96">
        <f t="shared" si="1"/>
        <v>2.96</v>
      </c>
    </row>
    <row r="82" spans="1:11" x14ac:dyDescent="0.35">
      <c r="A82" s="37" t="s">
        <v>68</v>
      </c>
      <c r="B82" s="499" t="s">
        <v>145</v>
      </c>
      <c r="C82" s="499"/>
      <c r="D82" s="499"/>
      <c r="E82" s="499"/>
      <c r="F82" s="499"/>
      <c r="G82" s="499"/>
      <c r="H82" s="499"/>
      <c r="I82" s="499"/>
      <c r="J82" s="81">
        <f>'Dados do Licitante'!H77</f>
        <v>2.7397260273972603E-3</v>
      </c>
      <c r="K82" s="96">
        <f t="shared" si="1"/>
        <v>10.01</v>
      </c>
    </row>
    <row r="83" spans="1:11" x14ac:dyDescent="0.35">
      <c r="A83" s="37" t="s">
        <v>70</v>
      </c>
      <c r="B83" s="499" t="s">
        <v>146</v>
      </c>
      <c r="C83" s="499"/>
      <c r="D83" s="499"/>
      <c r="E83" s="499"/>
      <c r="F83" s="499"/>
      <c r="G83" s="499"/>
      <c r="H83" s="499"/>
      <c r="I83" s="499"/>
      <c r="J83" s="81">
        <f>'Dados do Licitante'!H78</f>
        <v>2.1289717479452052E-4</v>
      </c>
      <c r="K83" s="96">
        <f t="shared" si="1"/>
        <v>0.77</v>
      </c>
    </row>
    <row r="84" spans="1:11" x14ac:dyDescent="0.35">
      <c r="A84" s="37" t="s">
        <v>72</v>
      </c>
      <c r="B84" s="454" t="s">
        <v>53</v>
      </c>
      <c r="C84" s="454"/>
      <c r="D84" s="454"/>
      <c r="E84" s="454"/>
      <c r="F84" s="454"/>
      <c r="G84" s="454"/>
      <c r="H84" s="454"/>
      <c r="I84" s="454"/>
      <c r="J84" s="81">
        <v>0</v>
      </c>
      <c r="K84" s="96">
        <f t="shared" si="1"/>
        <v>0</v>
      </c>
    </row>
    <row r="85" spans="1:11" x14ac:dyDescent="0.35">
      <c r="A85" s="450" t="s">
        <v>119</v>
      </c>
      <c r="B85" s="450"/>
      <c r="C85" s="450"/>
      <c r="D85" s="450"/>
      <c r="E85" s="450"/>
      <c r="F85" s="450"/>
      <c r="G85" s="450"/>
      <c r="H85" s="450"/>
      <c r="I85" s="450"/>
      <c r="J85" s="74"/>
      <c r="K85" s="102">
        <f>K77+K79+K80+K81+K82+K83+K84</f>
        <v>366.40999999999991</v>
      </c>
    </row>
    <row r="86" spans="1:11" x14ac:dyDescent="0.35">
      <c r="A86" s="502"/>
      <c r="B86" s="502"/>
      <c r="C86" s="502"/>
      <c r="D86" s="502"/>
      <c r="E86" s="502"/>
      <c r="F86" s="502"/>
      <c r="G86" s="502"/>
      <c r="H86" s="502"/>
      <c r="I86" s="502"/>
      <c r="J86" s="502"/>
      <c r="K86" s="502"/>
    </row>
    <row r="87" spans="1:11" x14ac:dyDescent="0.35">
      <c r="A87" s="465" t="s">
        <v>147</v>
      </c>
      <c r="B87" s="465"/>
      <c r="C87" s="465"/>
      <c r="D87" s="465"/>
      <c r="E87" s="465"/>
      <c r="F87" s="465"/>
      <c r="G87" s="465"/>
      <c r="H87" s="465"/>
      <c r="I87" s="465"/>
      <c r="J87" s="465"/>
      <c r="K87" s="103"/>
    </row>
    <row r="88" spans="1:11" x14ac:dyDescent="0.35">
      <c r="A88" s="37" t="s">
        <v>57</v>
      </c>
      <c r="B88" s="454" t="s">
        <v>148</v>
      </c>
      <c r="C88" s="454"/>
      <c r="D88" s="454"/>
      <c r="E88" s="454"/>
      <c r="F88" s="454"/>
      <c r="G88" s="454"/>
      <c r="H88" s="454"/>
      <c r="I88" s="454"/>
      <c r="J88" s="84"/>
      <c r="K88" s="112">
        <v>0</v>
      </c>
    </row>
    <row r="89" spans="1:11" x14ac:dyDescent="0.35">
      <c r="A89" s="450" t="s">
        <v>119</v>
      </c>
      <c r="B89" s="450" t="s">
        <v>119</v>
      </c>
      <c r="C89" s="450"/>
      <c r="D89" s="450"/>
      <c r="E89" s="450"/>
      <c r="F89" s="450"/>
      <c r="G89" s="450"/>
      <c r="H89" s="450"/>
      <c r="I89" s="450"/>
      <c r="J89" s="74"/>
      <c r="K89" s="102">
        <f>K88</f>
        <v>0</v>
      </c>
    </row>
    <row r="90" spans="1:11" x14ac:dyDescent="0.35">
      <c r="A90" s="502"/>
      <c r="B90" s="502"/>
      <c r="C90" s="502"/>
      <c r="D90" s="502"/>
      <c r="E90" s="502"/>
      <c r="F90" s="502"/>
      <c r="G90" s="502"/>
      <c r="H90" s="502"/>
      <c r="I90" s="502"/>
      <c r="J90" s="502"/>
      <c r="K90" s="503"/>
    </row>
    <row r="91" spans="1:11" x14ac:dyDescent="0.35">
      <c r="A91" s="450" t="s">
        <v>149</v>
      </c>
      <c r="B91" s="450"/>
      <c r="C91" s="450"/>
      <c r="D91" s="450"/>
      <c r="E91" s="450"/>
      <c r="F91" s="450"/>
      <c r="G91" s="450"/>
      <c r="H91" s="450"/>
      <c r="I91" s="450"/>
      <c r="J91" s="450"/>
      <c r="K91" s="103"/>
    </row>
    <row r="92" spans="1:11" x14ac:dyDescent="0.35">
      <c r="A92" s="37" t="s">
        <v>150</v>
      </c>
      <c r="B92" s="454" t="s">
        <v>151</v>
      </c>
      <c r="C92" s="454"/>
      <c r="D92" s="454"/>
      <c r="E92" s="454"/>
      <c r="F92" s="454"/>
      <c r="G92" s="454"/>
      <c r="H92" s="454"/>
      <c r="I92" s="454"/>
      <c r="J92" s="85"/>
      <c r="K92" s="96">
        <f>K85</f>
        <v>366.40999999999991</v>
      </c>
    </row>
    <row r="93" spans="1:11" x14ac:dyDescent="0.35">
      <c r="A93" s="37" t="s">
        <v>152</v>
      </c>
      <c r="B93" s="454" t="s">
        <v>153</v>
      </c>
      <c r="C93" s="454"/>
      <c r="D93" s="454"/>
      <c r="E93" s="454"/>
      <c r="F93" s="454"/>
      <c r="G93" s="454"/>
      <c r="H93" s="454"/>
      <c r="I93" s="454"/>
      <c r="J93" s="85"/>
      <c r="K93" s="96">
        <f>K89</f>
        <v>0</v>
      </c>
    </row>
    <row r="94" spans="1:11" x14ac:dyDescent="0.35">
      <c r="A94" s="464" t="s">
        <v>119</v>
      </c>
      <c r="B94" s="464" t="s">
        <v>119</v>
      </c>
      <c r="C94" s="464"/>
      <c r="D94" s="464"/>
      <c r="E94" s="464"/>
      <c r="F94" s="464"/>
      <c r="G94" s="464"/>
      <c r="H94" s="464"/>
      <c r="I94" s="464"/>
      <c r="J94" s="83"/>
      <c r="K94" s="97">
        <f>K92+K93</f>
        <v>366.40999999999991</v>
      </c>
    </row>
    <row r="95" spans="1:11" x14ac:dyDescent="0.35">
      <c r="A95" s="502"/>
      <c r="B95" s="502"/>
      <c r="C95" s="502"/>
      <c r="D95" s="502"/>
      <c r="E95" s="502"/>
      <c r="F95" s="502"/>
      <c r="G95" s="502"/>
      <c r="H95" s="502"/>
      <c r="I95" s="502"/>
      <c r="J95" s="502"/>
      <c r="K95" s="503"/>
    </row>
    <row r="96" spans="1:11" x14ac:dyDescent="0.35">
      <c r="A96" s="465" t="s">
        <v>154</v>
      </c>
      <c r="B96" s="465"/>
      <c r="C96" s="465"/>
      <c r="D96" s="465"/>
      <c r="E96" s="465"/>
      <c r="F96" s="465"/>
      <c r="G96" s="465"/>
      <c r="H96" s="465"/>
      <c r="I96" s="465"/>
      <c r="J96" s="465"/>
      <c r="K96" s="103"/>
    </row>
    <row r="97" spans="1:11" x14ac:dyDescent="0.35">
      <c r="A97" s="37" t="s">
        <v>57</v>
      </c>
      <c r="B97" s="454" t="s">
        <v>206</v>
      </c>
      <c r="C97" s="454"/>
      <c r="D97" s="454"/>
      <c r="E97" s="454"/>
      <c r="F97" s="454"/>
      <c r="G97" s="454"/>
      <c r="H97" s="454"/>
      <c r="I97" s="454"/>
      <c r="J97" s="454"/>
      <c r="K97" s="96">
        <f>Uniformes!E32</f>
        <v>117.35999999999999</v>
      </c>
    </row>
    <row r="98" spans="1:11" x14ac:dyDescent="0.35">
      <c r="A98" s="37" t="s">
        <v>60</v>
      </c>
      <c r="B98" s="505" t="s">
        <v>155</v>
      </c>
      <c r="C98" s="506"/>
      <c r="D98" s="506"/>
      <c r="E98" s="507"/>
      <c r="F98" s="492"/>
      <c r="G98" s="492"/>
      <c r="H98" s="492"/>
      <c r="I98" s="492"/>
      <c r="J98" s="86">
        <f>'Dados do Licitante'!G82</f>
        <v>2.47E-2</v>
      </c>
      <c r="K98" s="96">
        <f>J98*(K105+K106+K107+K108)</f>
        <v>117.99670889239999</v>
      </c>
    </row>
    <row r="99" spans="1:11" x14ac:dyDescent="0.35">
      <c r="A99" s="450" t="s">
        <v>64</v>
      </c>
      <c r="B99" s="508" t="s">
        <v>156</v>
      </c>
      <c r="C99" s="508"/>
      <c r="D99" s="509" t="s">
        <v>157</v>
      </c>
      <c r="E99" s="509"/>
      <c r="F99" s="509"/>
      <c r="G99" s="509"/>
      <c r="H99" s="509"/>
      <c r="I99" s="509"/>
      <c r="J99" s="509"/>
      <c r="K99" s="96"/>
    </row>
    <row r="100" spans="1:11" x14ac:dyDescent="0.35">
      <c r="A100" s="450"/>
      <c r="B100" s="508"/>
      <c r="C100" s="508"/>
      <c r="D100" s="509" t="s">
        <v>157</v>
      </c>
      <c r="E100" s="509"/>
      <c r="F100" s="509"/>
      <c r="G100" s="509"/>
      <c r="H100" s="509"/>
      <c r="I100" s="509"/>
      <c r="J100" s="509"/>
      <c r="K100" s="96"/>
    </row>
    <row r="101" spans="1:11" x14ac:dyDescent="0.35">
      <c r="A101" s="464" t="s">
        <v>158</v>
      </c>
      <c r="B101" s="464"/>
      <c r="C101" s="464"/>
      <c r="D101" s="464"/>
      <c r="E101" s="464"/>
      <c r="F101" s="464"/>
      <c r="G101" s="464"/>
      <c r="H101" s="464"/>
      <c r="I101" s="464"/>
      <c r="J101" s="464"/>
      <c r="K101" s="97">
        <f t="shared" ref="K101" si="2">SUM(K97:K100)</f>
        <v>235.35670889239998</v>
      </c>
    </row>
    <row r="102" spans="1:11" x14ac:dyDescent="0.35">
      <c r="A102" s="504"/>
      <c r="B102" s="504"/>
      <c r="C102" s="504"/>
      <c r="D102" s="504"/>
      <c r="E102" s="504"/>
      <c r="F102" s="504"/>
      <c r="G102" s="504"/>
      <c r="H102" s="504"/>
      <c r="I102" s="504"/>
      <c r="J102" s="504"/>
      <c r="K102" s="504"/>
    </row>
    <row r="103" spans="1:11" x14ac:dyDescent="0.35">
      <c r="A103" s="510" t="s">
        <v>159</v>
      </c>
      <c r="B103" s="303"/>
      <c r="C103" s="303"/>
      <c r="D103" s="303"/>
      <c r="E103" s="303"/>
      <c r="F103" s="303"/>
      <c r="G103" s="303"/>
      <c r="H103" s="303"/>
      <c r="I103" s="303"/>
      <c r="J103" s="303"/>
      <c r="K103" s="303"/>
    </row>
    <row r="104" spans="1:11" x14ac:dyDescent="0.35">
      <c r="A104" s="465" t="s">
        <v>160</v>
      </c>
      <c r="B104" s="465"/>
      <c r="C104" s="465"/>
      <c r="D104" s="465"/>
      <c r="E104" s="465"/>
      <c r="F104" s="465"/>
      <c r="G104" s="465"/>
      <c r="H104" s="465"/>
      <c r="I104" s="465"/>
      <c r="J104" s="465"/>
      <c r="K104" s="103"/>
    </row>
    <row r="105" spans="1:11" x14ac:dyDescent="0.35">
      <c r="A105" s="37" t="s">
        <v>57</v>
      </c>
      <c r="B105" s="452" t="s">
        <v>92</v>
      </c>
      <c r="C105" s="452"/>
      <c r="D105" s="452"/>
      <c r="E105" s="452"/>
      <c r="F105" s="452"/>
      <c r="G105" s="452"/>
      <c r="H105" s="452"/>
      <c r="I105" s="452"/>
      <c r="J105" s="452"/>
      <c r="K105" s="96">
        <f t="shared" ref="K105" si="3">K26</f>
        <v>2283.36</v>
      </c>
    </row>
    <row r="106" spans="1:11" x14ac:dyDescent="0.35">
      <c r="A106" s="37" t="s">
        <v>60</v>
      </c>
      <c r="B106" s="452" t="s">
        <v>161</v>
      </c>
      <c r="C106" s="452"/>
      <c r="D106" s="452"/>
      <c r="E106" s="452"/>
      <c r="F106" s="452"/>
      <c r="G106" s="452"/>
      <c r="H106" s="452"/>
      <c r="I106" s="452"/>
      <c r="J106" s="452"/>
      <c r="K106" s="96">
        <f t="shared" ref="K106" si="4">K62</f>
        <v>1985.0746919999999</v>
      </c>
    </row>
    <row r="107" spans="1:11" x14ac:dyDescent="0.35">
      <c r="A107" s="37" t="s">
        <v>64</v>
      </c>
      <c r="B107" s="452" t="s">
        <v>162</v>
      </c>
      <c r="C107" s="452"/>
      <c r="D107" s="452"/>
      <c r="E107" s="452"/>
      <c r="F107" s="452"/>
      <c r="G107" s="452"/>
      <c r="H107" s="452"/>
      <c r="I107" s="452"/>
      <c r="J107" s="452"/>
      <c r="K107" s="96">
        <f>K72</f>
        <v>142.35</v>
      </c>
    </row>
    <row r="108" spans="1:11" x14ac:dyDescent="0.35">
      <c r="A108" s="37" t="s">
        <v>66</v>
      </c>
      <c r="B108" s="452" t="s">
        <v>163</v>
      </c>
      <c r="C108" s="452"/>
      <c r="D108" s="452"/>
      <c r="E108" s="452"/>
      <c r="F108" s="452"/>
      <c r="G108" s="452"/>
      <c r="H108" s="452"/>
      <c r="I108" s="452"/>
      <c r="J108" s="452"/>
      <c r="K108" s="96">
        <f>K94</f>
        <v>366.40999999999991</v>
      </c>
    </row>
    <row r="109" spans="1:11" x14ac:dyDescent="0.35">
      <c r="A109" s="37" t="s">
        <v>68</v>
      </c>
      <c r="B109" s="452" t="s">
        <v>164</v>
      </c>
      <c r="C109" s="452"/>
      <c r="D109" s="452"/>
      <c r="E109" s="452"/>
      <c r="F109" s="452"/>
      <c r="G109" s="452"/>
      <c r="H109" s="452"/>
      <c r="I109" s="452"/>
      <c r="J109" s="452"/>
      <c r="K109" s="96">
        <f>K101</f>
        <v>235.35670889239998</v>
      </c>
    </row>
    <row r="110" spans="1:11" x14ac:dyDescent="0.35">
      <c r="A110" s="517" t="s">
        <v>165</v>
      </c>
      <c r="B110" s="517"/>
      <c r="C110" s="517"/>
      <c r="D110" s="517"/>
      <c r="E110" s="517"/>
      <c r="F110" s="517"/>
      <c r="G110" s="517"/>
      <c r="H110" s="517"/>
      <c r="I110" s="517"/>
      <c r="J110" s="517"/>
      <c r="K110" s="97">
        <f>SUM(K105:K109)</f>
        <v>5012.5514008924001</v>
      </c>
    </row>
    <row r="111" spans="1:11" x14ac:dyDescent="0.35">
      <c r="A111" s="478"/>
      <c r="B111" s="478"/>
      <c r="C111" s="478"/>
      <c r="D111" s="478"/>
      <c r="E111" s="478"/>
      <c r="F111" s="478"/>
      <c r="G111" s="478"/>
      <c r="H111" s="478"/>
      <c r="I111" s="478"/>
      <c r="J111" s="478"/>
      <c r="K111" s="478"/>
    </row>
    <row r="112" spans="1:11" x14ac:dyDescent="0.35">
      <c r="A112" s="465" t="s">
        <v>166</v>
      </c>
      <c r="B112" s="465"/>
      <c r="C112" s="465"/>
      <c r="D112" s="465"/>
      <c r="E112" s="465"/>
      <c r="F112" s="465"/>
      <c r="G112" s="465"/>
      <c r="H112" s="465"/>
      <c r="I112" s="465"/>
      <c r="J112" s="465"/>
      <c r="K112" s="103"/>
    </row>
    <row r="113" spans="1:11" x14ac:dyDescent="0.35">
      <c r="A113" s="37" t="s">
        <v>57</v>
      </c>
      <c r="B113" s="452" t="s">
        <v>167</v>
      </c>
      <c r="C113" s="452"/>
      <c r="D113" s="452"/>
      <c r="E113" s="452"/>
      <c r="F113" s="452"/>
      <c r="G113" s="452"/>
      <c r="H113" s="452"/>
      <c r="I113" s="452"/>
      <c r="J113" s="73">
        <f>'Dados do Licitante'!F23</f>
        <v>0.11749999999999999</v>
      </c>
      <c r="K113" s="96">
        <f>TRUNC(K$110*$J113,2)</f>
        <v>588.97</v>
      </c>
    </row>
    <row r="114" spans="1:11" x14ac:dyDescent="0.35">
      <c r="A114" s="37" t="s">
        <v>60</v>
      </c>
      <c r="B114" s="452" t="s">
        <v>168</v>
      </c>
      <c r="C114" s="452"/>
      <c r="D114" s="452"/>
      <c r="E114" s="452"/>
      <c r="F114" s="452"/>
      <c r="G114" s="452"/>
      <c r="H114" s="452"/>
      <c r="I114" s="452"/>
      <c r="J114" s="73">
        <f>'Dados do Licitante'!F24</f>
        <v>0.10979999999999999</v>
      </c>
      <c r="K114" s="96">
        <f>TRUNC((K110+K113)*$J114,2)</f>
        <v>615.04</v>
      </c>
    </row>
    <row r="115" spans="1:11" x14ac:dyDescent="0.35">
      <c r="A115" s="511" t="s">
        <v>64</v>
      </c>
      <c r="B115" s="513" t="s">
        <v>169</v>
      </c>
      <c r="C115" s="514"/>
      <c r="D115" s="514"/>
      <c r="E115" s="514"/>
      <c r="F115" s="514"/>
      <c r="G115" s="514"/>
      <c r="H115" s="514"/>
      <c r="I115" s="514"/>
      <c r="J115" s="87" t="s">
        <v>170</v>
      </c>
      <c r="K115" s="115">
        <f>'Dados do Licitante'!H31</f>
        <v>8.6499999999999994E-2</v>
      </c>
    </row>
    <row r="116" spans="1:11" x14ac:dyDescent="0.35">
      <c r="A116" s="512"/>
      <c r="B116" s="515"/>
      <c r="C116" s="516"/>
      <c r="D116" s="516"/>
      <c r="E116" s="516"/>
      <c r="F116" s="516"/>
      <c r="G116" s="516"/>
      <c r="H116" s="516"/>
      <c r="I116" s="516"/>
      <c r="J116" s="88" t="s">
        <v>171</v>
      </c>
      <c r="K116" s="96">
        <f>IF(K115&lt;&gt;"",K119*K115,0)</f>
        <v>588.65086062090052</v>
      </c>
    </row>
    <row r="117" spans="1:11" x14ac:dyDescent="0.35">
      <c r="A117" s="517" t="s">
        <v>172</v>
      </c>
      <c r="B117" s="517"/>
      <c r="C117" s="517"/>
      <c r="D117" s="517"/>
      <c r="E117" s="517"/>
      <c r="F117" s="517"/>
      <c r="G117" s="517"/>
      <c r="H117" s="517"/>
      <c r="I117" s="517"/>
      <c r="J117" s="517"/>
      <c r="K117" s="97">
        <f>K113+K114+K116</f>
        <v>1792.6608606209006</v>
      </c>
    </row>
    <row r="118" spans="1:11" x14ac:dyDescent="0.35">
      <c r="A118" s="62"/>
      <c r="B118" s="62"/>
      <c r="C118" s="62"/>
      <c r="D118" s="62"/>
      <c r="E118" s="62"/>
      <c r="F118" s="62"/>
      <c r="G118" s="62"/>
      <c r="H118" s="62"/>
      <c r="I118" s="62"/>
      <c r="J118" s="62"/>
      <c r="K118" s="62"/>
    </row>
    <row r="119" spans="1:11" x14ac:dyDescent="0.35">
      <c r="A119" s="518" t="s">
        <v>173</v>
      </c>
      <c r="B119" s="518"/>
      <c r="C119" s="518"/>
      <c r="D119" s="518"/>
      <c r="E119" s="518"/>
      <c r="F119" s="518"/>
      <c r="G119" s="518"/>
      <c r="H119" s="518"/>
      <c r="I119" s="518"/>
      <c r="J119" s="518"/>
      <c r="K119" s="116">
        <f>IF(K115&lt;&gt;"",(K110+K113+K114)/(1-K115),0)</f>
        <v>6805.2122615133012</v>
      </c>
    </row>
  </sheetData>
  <mergeCells count="132">
    <mergeCell ref="B113:I113"/>
    <mergeCell ref="B114:I114"/>
    <mergeCell ref="A115:A116"/>
    <mergeCell ref="B115:I116"/>
    <mergeCell ref="A117:J117"/>
    <mergeCell ref="A119:J119"/>
    <mergeCell ref="B107:J107"/>
    <mergeCell ref="B108:J108"/>
    <mergeCell ref="B109:J109"/>
    <mergeCell ref="A110:J110"/>
    <mergeCell ref="A111:K111"/>
    <mergeCell ref="A112:J112"/>
    <mergeCell ref="A101:J101"/>
    <mergeCell ref="A102:K102"/>
    <mergeCell ref="A103:K103"/>
    <mergeCell ref="A104:J104"/>
    <mergeCell ref="B105:J105"/>
    <mergeCell ref="B106:J106"/>
    <mergeCell ref="A95:K95"/>
    <mergeCell ref="A96:J96"/>
    <mergeCell ref="B97:J97"/>
    <mergeCell ref="B98:E98"/>
    <mergeCell ref="F98:I98"/>
    <mergeCell ref="A99:A100"/>
    <mergeCell ref="B99:C100"/>
    <mergeCell ref="D99:J99"/>
    <mergeCell ref="D100:J100"/>
    <mergeCell ref="A89:I89"/>
    <mergeCell ref="A90:K90"/>
    <mergeCell ref="A91:J91"/>
    <mergeCell ref="B92:I92"/>
    <mergeCell ref="B93:I93"/>
    <mergeCell ref="A94:I94"/>
    <mergeCell ref="B83:I83"/>
    <mergeCell ref="B84:I84"/>
    <mergeCell ref="A85:I85"/>
    <mergeCell ref="A86:K86"/>
    <mergeCell ref="A87:J87"/>
    <mergeCell ref="B88:I88"/>
    <mergeCell ref="B77:I77"/>
    <mergeCell ref="A78:J78"/>
    <mergeCell ref="B79:I79"/>
    <mergeCell ref="B80:I80"/>
    <mergeCell ref="B81:I81"/>
    <mergeCell ref="B82:I82"/>
    <mergeCell ref="A72:I72"/>
    <mergeCell ref="A73:K73"/>
    <mergeCell ref="A74:J74"/>
    <mergeCell ref="K74:K75"/>
    <mergeCell ref="A75:J75"/>
    <mergeCell ref="A76:J76"/>
    <mergeCell ref="B68:E68"/>
    <mergeCell ref="F68:G68"/>
    <mergeCell ref="H68:I68"/>
    <mergeCell ref="B69:I69"/>
    <mergeCell ref="A70:J70"/>
    <mergeCell ref="B71:I71"/>
    <mergeCell ref="A64:J64"/>
    <mergeCell ref="A65:J65"/>
    <mergeCell ref="B66:C66"/>
    <mergeCell ref="F66:G66"/>
    <mergeCell ref="H66:I66"/>
    <mergeCell ref="B67:I67"/>
    <mergeCell ref="A58:J58"/>
    <mergeCell ref="B59:I59"/>
    <mergeCell ref="B60:I60"/>
    <mergeCell ref="B61:J61"/>
    <mergeCell ref="B62:J62"/>
    <mergeCell ref="A63:K63"/>
    <mergeCell ref="B52:J52"/>
    <mergeCell ref="B53:J53"/>
    <mergeCell ref="B54:J54"/>
    <mergeCell ref="B55:J55"/>
    <mergeCell ref="B56:J56"/>
    <mergeCell ref="A57:K57"/>
    <mergeCell ref="A46:J46"/>
    <mergeCell ref="B47:J47"/>
    <mergeCell ref="B48:J48"/>
    <mergeCell ref="B49:J49"/>
    <mergeCell ref="B50:J50"/>
    <mergeCell ref="B51:J51"/>
    <mergeCell ref="B40:I40"/>
    <mergeCell ref="B41:I41"/>
    <mergeCell ref="B42:I42"/>
    <mergeCell ref="B43:E43"/>
    <mergeCell ref="H43:I43"/>
    <mergeCell ref="C44:I44"/>
    <mergeCell ref="A34:J34"/>
    <mergeCell ref="A35:J35"/>
    <mergeCell ref="A36:I36"/>
    <mergeCell ref="B37:I37"/>
    <mergeCell ref="B38:I38"/>
    <mergeCell ref="B39:I39"/>
    <mergeCell ref="K28:K29"/>
    <mergeCell ref="A29:J29"/>
    <mergeCell ref="B30:I30"/>
    <mergeCell ref="B31:I31"/>
    <mergeCell ref="B32:I32"/>
    <mergeCell ref="A33:K33"/>
    <mergeCell ref="B22:J22"/>
    <mergeCell ref="B23:J23"/>
    <mergeCell ref="B24:J24"/>
    <mergeCell ref="B25:J25"/>
    <mergeCell ref="A26:J26"/>
    <mergeCell ref="A28:J28"/>
    <mergeCell ref="B16:J16"/>
    <mergeCell ref="B17:J17"/>
    <mergeCell ref="A19:J19"/>
    <mergeCell ref="B20:J20"/>
    <mergeCell ref="B21:D21"/>
    <mergeCell ref="E21:G21"/>
    <mergeCell ref="H21:I21"/>
    <mergeCell ref="B11:J11"/>
    <mergeCell ref="A12:K12"/>
    <mergeCell ref="A13:K13"/>
    <mergeCell ref="B14:J14"/>
    <mergeCell ref="B15:J15"/>
    <mergeCell ref="A5:K5"/>
    <mergeCell ref="A6:C6"/>
    <mergeCell ref="D6:K6"/>
    <mergeCell ref="A7:K7"/>
    <mergeCell ref="B8:D8"/>
    <mergeCell ref="E8:K8"/>
    <mergeCell ref="A1:K1"/>
    <mergeCell ref="A2:C2"/>
    <mergeCell ref="D2:K2"/>
    <mergeCell ref="A3:C3"/>
    <mergeCell ref="D3:K3"/>
    <mergeCell ref="A4:C4"/>
    <mergeCell ref="D4:F4"/>
    <mergeCell ref="H4:K4"/>
    <mergeCell ref="B9:J9"/>
  </mergeCells>
  <conditionalFormatting sqref="J98">
    <cfRule type="expression" dxfId="3" priority="2">
      <formula>$J$98=""</formula>
    </cfRule>
  </conditionalFormatting>
  <conditionalFormatting sqref="F98:I98">
    <cfRule type="expression" dxfId="2" priority="1">
      <formula>$F$98=""</formula>
    </cfRule>
  </conditionalFormatting>
  <pageMargins left="0.511811024" right="0.511811024" top="0.78740157499999996" bottom="0.78740157499999996" header="0.31496062000000002" footer="0.31496062000000002"/>
  <pageSetup paperSize="9" scale="93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Option Button 1">
              <controlPr defaultSize="0" autoFill="0" autoLine="0" autoPict="0">
                <anchor moveWithCells="1">
                  <from>
                    <xdr:col>9</xdr:col>
                    <xdr:colOff>12700</xdr:colOff>
                    <xdr:row>20</xdr:row>
                    <xdr:rowOff>0</xdr:rowOff>
                  </from>
                  <to>
                    <xdr:col>9</xdr:col>
                    <xdr:colOff>279400</xdr:colOff>
                    <xdr:row>20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Option Button 2">
              <controlPr defaultSize="0" autoFill="0" autoLine="0" autoPict="0">
                <anchor moveWithCells="1">
                  <from>
                    <xdr:col>9</xdr:col>
                    <xdr:colOff>0</xdr:colOff>
                    <xdr:row>20</xdr:row>
                    <xdr:rowOff>76200</xdr:rowOff>
                  </from>
                  <to>
                    <xdr:col>9</xdr:col>
                    <xdr:colOff>520700</xdr:colOff>
                    <xdr:row>21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B9054-E4D1-4C0F-8E8D-852906DF4690}">
  <sheetPr>
    <pageSetUpPr fitToPage="1"/>
  </sheetPr>
  <dimension ref="A1:T120"/>
  <sheetViews>
    <sheetView workbookViewId="0">
      <selection activeCell="D2" sqref="D2:K2"/>
    </sheetView>
  </sheetViews>
  <sheetFormatPr defaultRowHeight="14.5" x14ac:dyDescent="0.35"/>
  <cols>
    <col min="11" max="11" width="15.08984375" customWidth="1"/>
  </cols>
  <sheetData>
    <row r="1" spans="1:20" x14ac:dyDescent="0.35">
      <c r="A1" s="450" t="s">
        <v>85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117"/>
      <c r="M1" s="106"/>
      <c r="N1" s="106"/>
      <c r="O1" s="106"/>
      <c r="P1" s="106"/>
      <c r="Q1" s="106"/>
      <c r="R1" s="106"/>
      <c r="S1" s="106"/>
      <c r="T1" s="106"/>
    </row>
    <row r="2" spans="1:20" x14ac:dyDescent="0.35">
      <c r="A2" s="451" t="s">
        <v>1</v>
      </c>
      <c r="B2" s="451"/>
      <c r="C2" s="451"/>
      <c r="D2" s="452" t="s">
        <v>337</v>
      </c>
      <c r="E2" s="452"/>
      <c r="F2" s="452"/>
      <c r="G2" s="452"/>
      <c r="H2" s="452"/>
      <c r="I2" s="452"/>
      <c r="J2" s="452"/>
      <c r="K2" s="452"/>
      <c r="L2" s="121"/>
      <c r="M2" s="106"/>
      <c r="N2" s="106"/>
      <c r="O2" s="106"/>
      <c r="P2" s="106"/>
      <c r="Q2" s="106"/>
      <c r="R2" s="106"/>
      <c r="S2" s="106"/>
      <c r="T2" s="106"/>
    </row>
    <row r="3" spans="1:20" x14ac:dyDescent="0.35">
      <c r="A3" s="451" t="s">
        <v>2</v>
      </c>
      <c r="B3" s="451"/>
      <c r="C3" s="451"/>
      <c r="D3" s="454" t="s">
        <v>338</v>
      </c>
      <c r="E3" s="454"/>
      <c r="F3" s="454"/>
      <c r="G3" s="454"/>
      <c r="H3" s="454"/>
      <c r="I3" s="454"/>
      <c r="J3" s="454"/>
      <c r="K3" s="454"/>
      <c r="L3" s="121"/>
      <c r="M3" s="106"/>
      <c r="N3" s="106"/>
      <c r="O3" s="106"/>
      <c r="P3" s="106"/>
      <c r="Q3" s="106"/>
      <c r="R3" s="106"/>
      <c r="S3" s="106"/>
      <c r="T3" s="106"/>
    </row>
    <row r="4" spans="1:20" x14ac:dyDescent="0.35">
      <c r="A4" s="451" t="s">
        <v>3</v>
      </c>
      <c r="B4" s="451"/>
      <c r="C4" s="451"/>
      <c r="D4" s="455">
        <v>44887</v>
      </c>
      <c r="E4" s="455"/>
      <c r="F4" s="455"/>
      <c r="G4" s="52" t="s">
        <v>4</v>
      </c>
      <c r="H4" s="452" t="s">
        <v>330</v>
      </c>
      <c r="I4" s="452"/>
      <c r="J4" s="452"/>
      <c r="K4" s="452"/>
      <c r="L4" s="121"/>
      <c r="M4" s="106"/>
      <c r="N4" s="106"/>
      <c r="O4" s="106"/>
      <c r="P4" s="106"/>
      <c r="Q4" s="106"/>
      <c r="R4" s="106"/>
      <c r="S4" s="106"/>
      <c r="T4" s="106"/>
    </row>
    <row r="5" spans="1:20" x14ac:dyDescent="0.35">
      <c r="A5" s="456"/>
      <c r="B5" s="456"/>
      <c r="C5" s="456"/>
      <c r="D5" s="456"/>
      <c r="E5" s="456"/>
      <c r="F5" s="456"/>
      <c r="G5" s="456"/>
      <c r="H5" s="456"/>
      <c r="I5" s="456"/>
      <c r="J5" s="456"/>
      <c r="K5" s="456"/>
      <c r="M5" s="106"/>
      <c r="N5" s="106"/>
      <c r="O5" s="106"/>
      <c r="P5" s="106"/>
      <c r="Q5" s="106"/>
      <c r="R5" s="106"/>
      <c r="S5" s="106"/>
      <c r="T5" s="106"/>
    </row>
    <row r="6" spans="1:20" x14ac:dyDescent="0.35">
      <c r="A6" s="451" t="s">
        <v>86</v>
      </c>
      <c r="B6" s="451"/>
      <c r="C6" s="451"/>
      <c r="D6" s="457" t="s">
        <v>198</v>
      </c>
      <c r="E6" s="457"/>
      <c r="F6" s="457"/>
      <c r="G6" s="457"/>
      <c r="H6" s="457"/>
      <c r="I6" s="457"/>
      <c r="J6" s="457"/>
      <c r="K6" s="457"/>
      <c r="L6" s="121"/>
      <c r="M6" s="106"/>
      <c r="N6" s="106"/>
      <c r="O6" s="106"/>
      <c r="P6" s="106"/>
      <c r="Q6" s="106"/>
      <c r="R6" s="106"/>
      <c r="S6" s="106"/>
      <c r="T6" s="106"/>
    </row>
    <row r="7" spans="1:20" x14ac:dyDescent="0.35">
      <c r="A7" s="458" t="s">
        <v>217</v>
      </c>
      <c r="B7" s="458"/>
      <c r="C7" s="458"/>
      <c r="D7" s="458"/>
      <c r="E7" s="458"/>
      <c r="F7" s="458"/>
      <c r="G7" s="458"/>
      <c r="H7" s="458"/>
      <c r="I7" s="458"/>
      <c r="J7" s="458"/>
      <c r="K7" s="458"/>
      <c r="M7" s="106"/>
      <c r="N7" s="106"/>
      <c r="O7" s="106"/>
      <c r="P7" s="106"/>
      <c r="Q7" s="106"/>
      <c r="R7" s="106"/>
      <c r="S7" s="106"/>
      <c r="T7" s="106"/>
    </row>
    <row r="8" spans="1:20" x14ac:dyDescent="0.35">
      <c r="A8" s="57" t="s">
        <v>87</v>
      </c>
      <c r="B8" s="459" t="s">
        <v>88</v>
      </c>
      <c r="C8" s="459"/>
      <c r="D8" s="459"/>
      <c r="E8" s="460" t="s">
        <v>197</v>
      </c>
      <c r="F8" s="461"/>
      <c r="G8" s="461"/>
      <c r="H8" s="461"/>
      <c r="I8" s="461"/>
      <c r="J8" s="461"/>
      <c r="K8" s="462"/>
      <c r="L8" s="117"/>
      <c r="M8" s="106"/>
      <c r="N8" s="106"/>
      <c r="O8" s="106"/>
      <c r="P8" s="106"/>
      <c r="Q8" s="106"/>
      <c r="R8" s="106"/>
      <c r="S8" s="106"/>
      <c r="T8" s="106"/>
    </row>
    <row r="9" spans="1:20" x14ac:dyDescent="0.35">
      <c r="A9" s="57" t="s">
        <v>87</v>
      </c>
      <c r="B9" s="452" t="s">
        <v>5</v>
      </c>
      <c r="C9" s="452"/>
      <c r="D9" s="452"/>
      <c r="E9" s="452"/>
      <c r="F9" s="452"/>
      <c r="G9" s="452"/>
      <c r="H9" s="452"/>
      <c r="I9" s="452"/>
      <c r="J9" s="452"/>
      <c r="K9" s="60">
        <v>20</v>
      </c>
      <c r="L9" s="100"/>
      <c r="M9" s="106"/>
      <c r="N9" s="106"/>
      <c r="O9" s="106"/>
      <c r="P9" s="106"/>
      <c r="Q9" s="106"/>
      <c r="R9" s="106"/>
      <c r="S9" s="106"/>
      <c r="T9" s="106"/>
    </row>
    <row r="10" spans="1:20" x14ac:dyDescent="0.3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93"/>
      <c r="M10" s="106"/>
      <c r="N10" s="106"/>
      <c r="O10" s="106"/>
      <c r="P10" s="106"/>
      <c r="Q10" s="106"/>
      <c r="R10" s="106"/>
      <c r="S10" s="106"/>
      <c r="T10" s="106"/>
    </row>
    <row r="11" spans="1:20" x14ac:dyDescent="0.35">
      <c r="A11" s="57" t="s">
        <v>87</v>
      </c>
      <c r="B11" s="452" t="s">
        <v>6</v>
      </c>
      <c r="C11" s="452"/>
      <c r="D11" s="452"/>
      <c r="E11" s="452"/>
      <c r="F11" s="452"/>
      <c r="G11" s="452"/>
      <c r="H11" s="452"/>
      <c r="I11" s="452"/>
      <c r="J11" s="452"/>
      <c r="K11" s="58" t="s">
        <v>175</v>
      </c>
      <c r="L11" s="100"/>
      <c r="M11" s="106"/>
      <c r="N11" s="106"/>
      <c r="O11" s="106"/>
      <c r="P11" s="106"/>
      <c r="Q11" s="106"/>
      <c r="R11" s="106"/>
      <c r="S11" s="106"/>
      <c r="T11" s="106"/>
    </row>
    <row r="12" spans="1:20" ht="18.5" x14ac:dyDescent="0.35">
      <c r="A12" s="463" t="s">
        <v>204</v>
      </c>
      <c r="B12" s="463"/>
      <c r="C12" s="463"/>
      <c r="D12" s="463"/>
      <c r="E12" s="463"/>
      <c r="F12" s="463"/>
      <c r="G12" s="463"/>
      <c r="H12" s="463"/>
      <c r="I12" s="463"/>
      <c r="J12" s="463"/>
      <c r="K12" s="463"/>
      <c r="L12" s="93"/>
      <c r="M12" s="106"/>
      <c r="N12" s="106"/>
      <c r="O12" s="106"/>
      <c r="P12" s="106"/>
      <c r="Q12" s="106"/>
      <c r="R12" s="106"/>
      <c r="S12" s="106"/>
      <c r="T12" s="106"/>
    </row>
    <row r="13" spans="1:20" x14ac:dyDescent="0.35">
      <c r="A13" s="451" t="s">
        <v>89</v>
      </c>
      <c r="B13" s="451"/>
      <c r="C13" s="451"/>
      <c r="D13" s="451"/>
      <c r="E13" s="451"/>
      <c r="F13" s="451"/>
      <c r="G13" s="451"/>
      <c r="H13" s="451"/>
      <c r="I13" s="451"/>
      <c r="J13" s="451"/>
      <c r="K13" s="451"/>
      <c r="L13" s="122"/>
      <c r="M13" s="106"/>
      <c r="N13" s="106"/>
      <c r="O13" s="106"/>
      <c r="P13" s="106"/>
      <c r="Q13" s="106"/>
      <c r="R13" s="106"/>
      <c r="S13" s="106"/>
      <c r="T13" s="106"/>
    </row>
    <row r="14" spans="1:20" x14ac:dyDescent="0.35">
      <c r="A14" s="37">
        <v>1</v>
      </c>
      <c r="B14" s="452" t="s">
        <v>90</v>
      </c>
      <c r="C14" s="452"/>
      <c r="D14" s="452"/>
      <c r="E14" s="452"/>
      <c r="F14" s="452"/>
      <c r="G14" s="452"/>
      <c r="H14" s="452"/>
      <c r="I14" s="452"/>
      <c r="J14" s="452"/>
      <c r="K14" s="92">
        <f>'Dados do Licitante'!F12</f>
        <v>2283.36</v>
      </c>
      <c r="L14" s="99"/>
      <c r="M14" s="106"/>
      <c r="N14" s="106"/>
      <c r="O14" s="106"/>
      <c r="P14" s="106"/>
      <c r="Q14" s="106"/>
      <c r="R14" s="106"/>
      <c r="S14" s="106"/>
      <c r="T14" s="106"/>
    </row>
    <row r="15" spans="1:20" x14ac:dyDescent="0.35">
      <c r="A15" s="37">
        <v>2</v>
      </c>
      <c r="B15" s="452" t="s">
        <v>7</v>
      </c>
      <c r="C15" s="452"/>
      <c r="D15" s="452"/>
      <c r="E15" s="452"/>
      <c r="F15" s="452"/>
      <c r="G15" s="452"/>
      <c r="H15" s="452"/>
      <c r="I15" s="452"/>
      <c r="J15" s="452"/>
      <c r="K15" s="65"/>
      <c r="L15" s="100"/>
      <c r="M15" s="106"/>
      <c r="N15" s="106"/>
      <c r="O15" s="106"/>
      <c r="P15" s="106"/>
      <c r="Q15" s="106"/>
      <c r="R15" s="106"/>
      <c r="S15" s="106"/>
      <c r="T15" s="106"/>
    </row>
    <row r="16" spans="1:20" x14ac:dyDescent="0.35">
      <c r="A16" s="37">
        <v>3</v>
      </c>
      <c r="B16" s="452" t="s">
        <v>8</v>
      </c>
      <c r="C16" s="452"/>
      <c r="D16" s="452"/>
      <c r="E16" s="452"/>
      <c r="F16" s="452"/>
      <c r="G16" s="452"/>
      <c r="H16" s="452"/>
      <c r="I16" s="452"/>
      <c r="J16" s="452"/>
      <c r="K16" s="66">
        <f>'Dados do Licitante'!F16</f>
        <v>44682</v>
      </c>
      <c r="L16" s="123"/>
      <c r="M16" s="106"/>
      <c r="N16" s="106"/>
      <c r="O16" s="106"/>
      <c r="P16" s="106"/>
      <c r="Q16" s="106"/>
      <c r="R16" s="106"/>
      <c r="S16" s="106"/>
      <c r="T16" s="106"/>
    </row>
    <row r="17" spans="1:20" x14ac:dyDescent="0.35">
      <c r="A17" s="37">
        <v>4</v>
      </c>
      <c r="B17" s="452" t="s">
        <v>91</v>
      </c>
      <c r="C17" s="452"/>
      <c r="D17" s="452"/>
      <c r="E17" s="452"/>
      <c r="F17" s="452"/>
      <c r="G17" s="452"/>
      <c r="H17" s="452"/>
      <c r="I17" s="452"/>
      <c r="J17" s="452"/>
      <c r="K17" s="68" t="str">
        <f>'Dados do Licitante'!F18</f>
        <v>5143-25</v>
      </c>
      <c r="L17" s="123"/>
      <c r="M17" s="106"/>
      <c r="N17" s="106"/>
      <c r="O17" s="106"/>
      <c r="P17" s="106"/>
      <c r="Q17" s="106"/>
      <c r="R17" s="106"/>
      <c r="S17" s="106"/>
      <c r="T17" s="106"/>
    </row>
    <row r="18" spans="1:20" x14ac:dyDescent="0.35">
      <c r="A18" s="2"/>
      <c r="B18" s="62"/>
      <c r="C18" s="62"/>
      <c r="D18" s="62"/>
      <c r="E18" s="62"/>
      <c r="F18" s="62"/>
      <c r="G18" s="62"/>
      <c r="H18" s="62"/>
      <c r="I18" s="62"/>
      <c r="J18" s="62"/>
      <c r="K18" s="2"/>
      <c r="L18" s="93"/>
      <c r="M18" s="106"/>
      <c r="N18" s="106"/>
      <c r="O18" s="106"/>
      <c r="P18" s="106"/>
      <c r="Q18" s="106"/>
      <c r="R18" s="106"/>
      <c r="S18" s="106"/>
      <c r="T18" s="106"/>
    </row>
    <row r="19" spans="1:20" x14ac:dyDescent="0.35">
      <c r="A19" s="465" t="s">
        <v>92</v>
      </c>
      <c r="B19" s="465"/>
      <c r="C19" s="465"/>
      <c r="D19" s="465"/>
      <c r="E19" s="465"/>
      <c r="F19" s="465"/>
      <c r="G19" s="465"/>
      <c r="H19" s="465"/>
      <c r="I19" s="465"/>
      <c r="J19" s="465"/>
      <c r="K19" s="95"/>
      <c r="L19" s="125"/>
      <c r="M19" s="125"/>
      <c r="N19" s="125"/>
      <c r="O19" s="125"/>
      <c r="P19" s="125"/>
      <c r="Q19" s="125"/>
      <c r="R19" s="125"/>
      <c r="S19" s="125"/>
      <c r="T19" s="125"/>
    </row>
    <row r="20" spans="1:20" x14ac:dyDescent="0.35">
      <c r="A20" s="37" t="s">
        <v>57</v>
      </c>
      <c r="B20" s="452" t="s">
        <v>93</v>
      </c>
      <c r="C20" s="452"/>
      <c r="D20" s="452"/>
      <c r="E20" s="452"/>
      <c r="F20" s="452"/>
      <c r="G20" s="452"/>
      <c r="H20" s="452"/>
      <c r="I20" s="452"/>
      <c r="J20" s="452"/>
      <c r="K20" s="96">
        <f>$K$14</f>
        <v>2283.36</v>
      </c>
      <c r="L20" s="99"/>
      <c r="M20" s="99"/>
      <c r="N20" s="99"/>
      <c r="O20" s="99"/>
      <c r="P20" s="99"/>
      <c r="Q20" s="99"/>
      <c r="R20" s="99"/>
      <c r="S20" s="99"/>
      <c r="T20" s="99"/>
    </row>
    <row r="21" spans="1:20" x14ac:dyDescent="0.35">
      <c r="A21" s="37" t="s">
        <v>60</v>
      </c>
      <c r="B21" s="466" t="s">
        <v>94</v>
      </c>
      <c r="C21" s="467"/>
      <c r="D21" s="468"/>
      <c r="E21" s="466" t="s">
        <v>95</v>
      </c>
      <c r="F21" s="467"/>
      <c r="G21" s="468"/>
      <c r="H21" s="469" t="s">
        <v>96</v>
      </c>
      <c r="I21" s="470"/>
      <c r="J21" s="71">
        <v>1</v>
      </c>
      <c r="K21" s="96">
        <f>IF($J$21=1,K20*0.3,0)</f>
        <v>685.00800000000004</v>
      </c>
      <c r="L21" s="99"/>
      <c r="M21" s="99"/>
      <c r="N21" s="99"/>
      <c r="O21" s="99"/>
      <c r="P21" s="99"/>
      <c r="Q21" s="99"/>
      <c r="R21" s="99"/>
      <c r="S21" s="99"/>
      <c r="T21" s="99"/>
    </row>
    <row r="22" spans="1:20" x14ac:dyDescent="0.35">
      <c r="A22" s="37" t="s">
        <v>64</v>
      </c>
      <c r="B22" s="454" t="s">
        <v>97</v>
      </c>
      <c r="C22" s="454"/>
      <c r="D22" s="454"/>
      <c r="E22" s="454"/>
      <c r="F22" s="454"/>
      <c r="G22" s="454"/>
      <c r="H22" s="454"/>
      <c r="I22" s="454"/>
      <c r="J22" s="454"/>
      <c r="K22" s="96"/>
      <c r="L22" s="99"/>
      <c r="M22" s="100"/>
      <c r="N22" s="100"/>
      <c r="O22" s="100"/>
      <c r="P22" s="100"/>
      <c r="Q22" s="100"/>
      <c r="R22" s="100"/>
      <c r="S22" s="100"/>
      <c r="T22" s="100"/>
    </row>
    <row r="23" spans="1:20" x14ac:dyDescent="0.35">
      <c r="A23" s="37" t="s">
        <v>66</v>
      </c>
      <c r="B23" s="452" t="s">
        <v>98</v>
      </c>
      <c r="C23" s="452"/>
      <c r="D23" s="452"/>
      <c r="E23" s="452"/>
      <c r="F23" s="452"/>
      <c r="G23" s="452"/>
      <c r="H23" s="452"/>
      <c r="I23" s="452"/>
      <c r="J23" s="452"/>
      <c r="K23" s="96"/>
      <c r="L23" s="99"/>
      <c r="M23" s="100"/>
      <c r="N23" s="100"/>
      <c r="O23" s="100"/>
      <c r="P23" s="100"/>
      <c r="Q23" s="100"/>
      <c r="R23" s="100"/>
      <c r="S23" s="100"/>
      <c r="T23" s="100"/>
    </row>
    <row r="24" spans="1:20" x14ac:dyDescent="0.35">
      <c r="A24" s="37" t="s">
        <v>68</v>
      </c>
      <c r="B24" s="452" t="s">
        <v>99</v>
      </c>
      <c r="C24" s="452"/>
      <c r="D24" s="452"/>
      <c r="E24" s="452"/>
      <c r="F24" s="452"/>
      <c r="G24" s="452"/>
      <c r="H24" s="452"/>
      <c r="I24" s="452"/>
      <c r="J24" s="452"/>
      <c r="K24" s="96"/>
      <c r="L24" s="99"/>
      <c r="M24" s="100"/>
      <c r="N24" s="100"/>
      <c r="O24" s="100"/>
      <c r="P24" s="100"/>
      <c r="Q24" s="100"/>
      <c r="R24" s="100"/>
      <c r="S24" s="100"/>
      <c r="T24" s="100"/>
    </row>
    <row r="25" spans="1:20" x14ac:dyDescent="0.35">
      <c r="A25" s="37" t="s">
        <v>70</v>
      </c>
      <c r="B25" s="452" t="s">
        <v>53</v>
      </c>
      <c r="C25" s="452"/>
      <c r="D25" s="452"/>
      <c r="E25" s="452"/>
      <c r="F25" s="452"/>
      <c r="G25" s="452"/>
      <c r="H25" s="452"/>
      <c r="I25" s="452"/>
      <c r="J25" s="452"/>
      <c r="K25" s="96"/>
      <c r="L25" s="99"/>
      <c r="M25" s="100"/>
      <c r="N25" s="100"/>
      <c r="O25" s="100"/>
      <c r="P25" s="100"/>
      <c r="Q25" s="100"/>
      <c r="R25" s="100"/>
      <c r="S25" s="100"/>
      <c r="T25" s="100"/>
    </row>
    <row r="26" spans="1:20" x14ac:dyDescent="0.35">
      <c r="A26" s="464" t="s">
        <v>100</v>
      </c>
      <c r="B26" s="464"/>
      <c r="C26" s="464"/>
      <c r="D26" s="464"/>
      <c r="E26" s="464"/>
      <c r="F26" s="464"/>
      <c r="G26" s="464"/>
      <c r="H26" s="464"/>
      <c r="I26" s="464"/>
      <c r="J26" s="464"/>
      <c r="K26" s="97">
        <f>SUM(K20:K25)</f>
        <v>2968.3680000000004</v>
      </c>
      <c r="L26" s="101"/>
      <c r="M26" s="101"/>
      <c r="N26" s="101"/>
      <c r="O26" s="101"/>
      <c r="P26" s="101"/>
      <c r="Q26" s="101"/>
      <c r="R26" s="101"/>
      <c r="S26" s="101"/>
      <c r="T26" s="101"/>
    </row>
    <row r="27" spans="1:20" x14ac:dyDescent="0.35">
      <c r="A27" s="94"/>
      <c r="B27" s="94"/>
      <c r="C27" s="94"/>
      <c r="D27" s="94"/>
      <c r="E27" s="94"/>
      <c r="F27" s="94"/>
      <c r="G27" s="94"/>
      <c r="H27" s="94"/>
      <c r="I27" s="94"/>
      <c r="J27" s="94"/>
      <c r="K27" s="94"/>
    </row>
    <row r="28" spans="1:20" x14ac:dyDescent="0.35">
      <c r="A28" s="465" t="s">
        <v>101</v>
      </c>
      <c r="B28" s="465"/>
      <c r="C28" s="465"/>
      <c r="D28" s="465"/>
      <c r="E28" s="465"/>
      <c r="F28" s="465"/>
      <c r="G28" s="465"/>
      <c r="H28" s="465"/>
      <c r="I28" s="465"/>
      <c r="J28" s="465"/>
      <c r="K28" s="473"/>
      <c r="L28" s="125"/>
      <c r="M28" s="125"/>
      <c r="N28" s="125"/>
      <c r="O28" s="125"/>
      <c r="P28" s="125"/>
      <c r="Q28" s="125"/>
      <c r="R28" s="125"/>
      <c r="S28" s="125"/>
      <c r="T28" s="125"/>
    </row>
    <row r="29" spans="1:20" x14ac:dyDescent="0.35">
      <c r="A29" s="472" t="s">
        <v>102</v>
      </c>
      <c r="B29" s="472"/>
      <c r="C29" s="472"/>
      <c r="D29" s="472"/>
      <c r="E29" s="472"/>
      <c r="F29" s="472"/>
      <c r="G29" s="472"/>
      <c r="H29" s="472"/>
      <c r="I29" s="472"/>
      <c r="J29" s="472"/>
      <c r="K29" s="474"/>
      <c r="L29" s="125"/>
      <c r="M29" s="125"/>
      <c r="N29" s="125"/>
      <c r="O29" s="125"/>
      <c r="P29" s="125"/>
      <c r="Q29" s="125"/>
      <c r="R29" s="125"/>
      <c r="S29" s="125"/>
      <c r="T29" s="125"/>
    </row>
    <row r="30" spans="1:20" x14ac:dyDescent="0.35">
      <c r="A30" s="37" t="s">
        <v>57</v>
      </c>
      <c r="B30" s="476" t="s">
        <v>103</v>
      </c>
      <c r="C30" s="476"/>
      <c r="D30" s="476"/>
      <c r="E30" s="476"/>
      <c r="F30" s="476"/>
      <c r="G30" s="476"/>
      <c r="H30" s="476"/>
      <c r="I30" s="476"/>
      <c r="J30" s="73">
        <v>8.3299999999999999E-2</v>
      </c>
      <c r="K30" s="96">
        <f>TRUNC(K26*$J$30,2)</f>
        <v>247.26</v>
      </c>
      <c r="L30" s="99"/>
      <c r="M30" s="99"/>
      <c r="N30" s="99"/>
      <c r="O30" s="99"/>
      <c r="P30" s="99"/>
      <c r="Q30" s="99"/>
      <c r="R30" s="99"/>
      <c r="S30" s="99"/>
      <c r="T30" s="99"/>
    </row>
    <row r="31" spans="1:20" x14ac:dyDescent="0.35">
      <c r="A31" s="37" t="s">
        <v>60</v>
      </c>
      <c r="B31" s="454" t="s">
        <v>104</v>
      </c>
      <c r="C31" s="454"/>
      <c r="D31" s="454"/>
      <c r="E31" s="454"/>
      <c r="F31" s="454"/>
      <c r="G31" s="454"/>
      <c r="H31" s="454"/>
      <c r="I31" s="454"/>
      <c r="J31" s="73">
        <v>3.0300000000000001E-2</v>
      </c>
      <c r="K31" s="96">
        <f>TRUNC(K26*$J$31,2)</f>
        <v>89.94</v>
      </c>
      <c r="L31" s="99"/>
      <c r="M31" s="99"/>
      <c r="N31" s="99"/>
      <c r="O31" s="99"/>
      <c r="P31" s="99"/>
      <c r="Q31" s="99"/>
      <c r="R31" s="99"/>
      <c r="S31" s="99"/>
      <c r="T31" s="99"/>
    </row>
    <row r="32" spans="1:20" x14ac:dyDescent="0.35">
      <c r="A32" s="69"/>
      <c r="B32" s="477"/>
      <c r="C32" s="477"/>
      <c r="D32" s="477"/>
      <c r="E32" s="477"/>
      <c r="F32" s="477"/>
      <c r="G32" s="477"/>
      <c r="H32" s="477"/>
      <c r="I32" s="477"/>
      <c r="J32" s="74">
        <f>J30+J31</f>
        <v>0.11360000000000001</v>
      </c>
      <c r="K32" s="102">
        <f>TRUNC(K26*$J$32,2)</f>
        <v>337.2</v>
      </c>
      <c r="L32" s="101"/>
      <c r="M32" s="101"/>
      <c r="N32" s="101"/>
      <c r="O32" s="101"/>
      <c r="P32" s="101"/>
      <c r="Q32" s="101"/>
      <c r="R32" s="101"/>
      <c r="S32" s="101"/>
      <c r="T32" s="101"/>
    </row>
    <row r="33" spans="1:20" x14ac:dyDescent="0.35">
      <c r="A33" s="478"/>
      <c r="B33" s="478"/>
      <c r="C33" s="478"/>
      <c r="D33" s="478"/>
      <c r="E33" s="478"/>
      <c r="F33" s="478"/>
      <c r="G33" s="478"/>
      <c r="H33" s="478"/>
      <c r="I33" s="478"/>
      <c r="J33" s="478"/>
      <c r="K33" s="478"/>
      <c r="M33" s="106"/>
      <c r="N33" s="106"/>
      <c r="O33" s="106"/>
      <c r="P33" s="106"/>
      <c r="Q33" s="106"/>
      <c r="R33" s="106"/>
      <c r="S33" s="106"/>
      <c r="T33" s="106"/>
    </row>
    <row r="34" spans="1:20" ht="38.5" customHeight="1" x14ac:dyDescent="0.35">
      <c r="A34" s="479" t="s">
        <v>105</v>
      </c>
      <c r="B34" s="479"/>
      <c r="C34" s="479"/>
      <c r="D34" s="479"/>
      <c r="E34" s="479"/>
      <c r="F34" s="479"/>
      <c r="G34" s="479"/>
      <c r="H34" s="479"/>
      <c r="I34" s="479"/>
      <c r="J34" s="479"/>
      <c r="K34" s="103"/>
      <c r="L34" s="117"/>
      <c r="M34" s="117"/>
      <c r="N34" s="117"/>
      <c r="O34" s="117"/>
      <c r="P34" s="117"/>
      <c r="Q34" s="117"/>
      <c r="R34" s="117"/>
      <c r="S34" s="117"/>
      <c r="T34" s="117"/>
    </row>
    <row r="35" spans="1:20" x14ac:dyDescent="0.35">
      <c r="A35" s="480" t="s">
        <v>106</v>
      </c>
      <c r="B35" s="480"/>
      <c r="C35" s="480"/>
      <c r="D35" s="480"/>
      <c r="E35" s="480"/>
      <c r="F35" s="480"/>
      <c r="G35" s="480"/>
      <c r="H35" s="480"/>
      <c r="I35" s="480"/>
      <c r="J35" s="480"/>
      <c r="K35" s="104">
        <f>K26+K32</f>
        <v>3305.5680000000002</v>
      </c>
      <c r="L35" s="111"/>
      <c r="M35" s="111"/>
      <c r="N35" s="111"/>
      <c r="O35" s="111"/>
      <c r="P35" s="111"/>
      <c r="Q35" s="111"/>
      <c r="R35" s="111"/>
      <c r="S35" s="111"/>
      <c r="T35" s="111"/>
    </row>
    <row r="36" spans="1:20" x14ac:dyDescent="0.35">
      <c r="A36" s="475" t="s">
        <v>107</v>
      </c>
      <c r="B36" s="475"/>
      <c r="C36" s="475"/>
      <c r="D36" s="475"/>
      <c r="E36" s="475"/>
      <c r="F36" s="475"/>
      <c r="G36" s="475"/>
      <c r="H36" s="475"/>
      <c r="I36" s="475"/>
      <c r="J36" s="75">
        <f>SUM(J37:J44)</f>
        <v>0.3680000000000001</v>
      </c>
      <c r="K36" s="105">
        <f>SUM(K37:K44)</f>
        <v>1216.4100000000001</v>
      </c>
      <c r="L36" s="99"/>
      <c r="M36" s="99"/>
      <c r="N36" s="99"/>
      <c r="O36" s="99"/>
      <c r="P36" s="99"/>
      <c r="Q36" s="99"/>
      <c r="R36" s="99"/>
      <c r="S36" s="99"/>
      <c r="T36" s="99"/>
    </row>
    <row r="37" spans="1:20" x14ac:dyDescent="0.35">
      <c r="A37" s="37" t="s">
        <v>57</v>
      </c>
      <c r="B37" s="452" t="s">
        <v>108</v>
      </c>
      <c r="C37" s="452"/>
      <c r="D37" s="452"/>
      <c r="E37" s="452"/>
      <c r="F37" s="452"/>
      <c r="G37" s="452"/>
      <c r="H37" s="452"/>
      <c r="I37" s="452"/>
      <c r="J37" s="76">
        <v>0.2</v>
      </c>
      <c r="K37" s="105">
        <f t="shared" ref="K37:K44" si="0">TRUNC(K$35*$J37,2)</f>
        <v>661.11</v>
      </c>
      <c r="L37" s="99"/>
      <c r="M37" s="99"/>
      <c r="N37" s="99"/>
      <c r="O37" s="99"/>
      <c r="P37" s="99"/>
      <c r="Q37" s="99"/>
      <c r="R37" s="99"/>
      <c r="S37" s="99"/>
      <c r="T37" s="99"/>
    </row>
    <row r="38" spans="1:20" x14ac:dyDescent="0.35">
      <c r="A38" s="37" t="s">
        <v>60</v>
      </c>
      <c r="B38" s="452" t="s">
        <v>109</v>
      </c>
      <c r="C38" s="452"/>
      <c r="D38" s="452"/>
      <c r="E38" s="452"/>
      <c r="F38" s="452"/>
      <c r="G38" s="452"/>
      <c r="H38" s="452"/>
      <c r="I38" s="452"/>
      <c r="J38" s="76">
        <v>1.4999999999999999E-2</v>
      </c>
      <c r="K38" s="105">
        <f t="shared" si="0"/>
        <v>49.58</v>
      </c>
      <c r="L38" s="99"/>
      <c r="M38" s="99"/>
      <c r="N38" s="99"/>
      <c r="O38" s="99"/>
      <c r="P38" s="99"/>
      <c r="Q38" s="99"/>
      <c r="R38" s="99"/>
      <c r="S38" s="99"/>
      <c r="T38" s="99"/>
    </row>
    <row r="39" spans="1:20" x14ac:dyDescent="0.35">
      <c r="A39" s="37" t="s">
        <v>64</v>
      </c>
      <c r="B39" s="452" t="s">
        <v>110</v>
      </c>
      <c r="C39" s="452"/>
      <c r="D39" s="452"/>
      <c r="E39" s="452"/>
      <c r="F39" s="452"/>
      <c r="G39" s="452"/>
      <c r="H39" s="452"/>
      <c r="I39" s="452"/>
      <c r="J39" s="76">
        <v>0.01</v>
      </c>
      <c r="K39" s="105">
        <f t="shared" si="0"/>
        <v>33.049999999999997</v>
      </c>
      <c r="L39" s="99"/>
      <c r="M39" s="99"/>
      <c r="N39" s="99"/>
      <c r="O39" s="99"/>
      <c r="P39" s="99"/>
      <c r="Q39" s="99"/>
      <c r="R39" s="99"/>
      <c r="S39" s="99"/>
      <c r="T39" s="99"/>
    </row>
    <row r="40" spans="1:20" x14ac:dyDescent="0.35">
      <c r="A40" s="37" t="s">
        <v>66</v>
      </c>
      <c r="B40" s="452" t="s">
        <v>111</v>
      </c>
      <c r="C40" s="452"/>
      <c r="D40" s="452"/>
      <c r="E40" s="452"/>
      <c r="F40" s="452"/>
      <c r="G40" s="452"/>
      <c r="H40" s="452"/>
      <c r="I40" s="452"/>
      <c r="J40" s="76">
        <v>2E-3</v>
      </c>
      <c r="K40" s="105">
        <f t="shared" si="0"/>
        <v>6.61</v>
      </c>
      <c r="L40" s="99"/>
      <c r="M40" s="99"/>
      <c r="N40" s="99"/>
      <c r="O40" s="99"/>
      <c r="P40" s="99"/>
      <c r="Q40" s="99"/>
      <c r="R40" s="99"/>
      <c r="S40" s="99"/>
      <c r="T40" s="99"/>
    </row>
    <row r="41" spans="1:20" x14ac:dyDescent="0.35">
      <c r="A41" s="37" t="s">
        <v>68</v>
      </c>
      <c r="B41" s="452" t="s">
        <v>112</v>
      </c>
      <c r="C41" s="452"/>
      <c r="D41" s="452"/>
      <c r="E41" s="452"/>
      <c r="F41" s="452"/>
      <c r="G41" s="452"/>
      <c r="H41" s="452"/>
      <c r="I41" s="452"/>
      <c r="J41" s="76">
        <v>2.5000000000000001E-2</v>
      </c>
      <c r="K41" s="105">
        <f t="shared" si="0"/>
        <v>82.63</v>
      </c>
      <c r="L41" s="99"/>
      <c r="M41" s="99"/>
      <c r="N41" s="99"/>
      <c r="O41" s="99"/>
      <c r="P41" s="99"/>
      <c r="Q41" s="99"/>
      <c r="R41" s="99"/>
      <c r="S41" s="99"/>
      <c r="T41" s="99"/>
    </row>
    <row r="42" spans="1:20" x14ac:dyDescent="0.35">
      <c r="A42" s="37" t="s">
        <v>70</v>
      </c>
      <c r="B42" s="452" t="s">
        <v>113</v>
      </c>
      <c r="C42" s="452"/>
      <c r="D42" s="452"/>
      <c r="E42" s="452"/>
      <c r="F42" s="452"/>
      <c r="G42" s="452"/>
      <c r="H42" s="452"/>
      <c r="I42" s="452"/>
      <c r="J42" s="76">
        <v>0.08</v>
      </c>
      <c r="K42" s="105">
        <f t="shared" si="0"/>
        <v>264.44</v>
      </c>
      <c r="L42" s="99"/>
      <c r="M42" s="99"/>
      <c r="N42" s="99"/>
      <c r="O42" s="99"/>
      <c r="P42" s="99"/>
      <c r="Q42" s="99"/>
      <c r="R42" s="99"/>
      <c r="S42" s="99"/>
      <c r="T42" s="99"/>
    </row>
    <row r="43" spans="1:20" x14ac:dyDescent="0.35">
      <c r="A43" s="37" t="s">
        <v>72</v>
      </c>
      <c r="B43" s="452" t="s">
        <v>114</v>
      </c>
      <c r="C43" s="452"/>
      <c r="D43" s="452"/>
      <c r="E43" s="452"/>
      <c r="F43" s="77">
        <f>'Dados do Licitante'!E22</f>
        <v>0.03</v>
      </c>
      <c r="G43" s="70" t="s">
        <v>11</v>
      </c>
      <c r="H43" s="481">
        <f>'Dados do Licitante'!G22</f>
        <v>1</v>
      </c>
      <c r="I43" s="482"/>
      <c r="J43" s="76">
        <f>ROUND(F43*H43,2)</f>
        <v>0.03</v>
      </c>
      <c r="K43" s="105">
        <f t="shared" si="0"/>
        <v>99.16</v>
      </c>
      <c r="L43" s="99"/>
      <c r="M43" s="99"/>
      <c r="N43" s="99"/>
      <c r="O43" s="99"/>
      <c r="P43" s="99"/>
      <c r="Q43" s="99"/>
      <c r="R43" s="99"/>
      <c r="S43" s="99"/>
      <c r="T43" s="99"/>
    </row>
    <row r="44" spans="1:20" x14ac:dyDescent="0.35">
      <c r="A44" s="91" t="s">
        <v>115</v>
      </c>
      <c r="B44" s="126" t="s">
        <v>116</v>
      </c>
      <c r="C44" s="483"/>
      <c r="D44" s="483"/>
      <c r="E44" s="483"/>
      <c r="F44" s="483"/>
      <c r="G44" s="483"/>
      <c r="H44" s="483"/>
      <c r="I44" s="483"/>
      <c r="J44" s="127">
        <v>6.0000000000000001E-3</v>
      </c>
      <c r="K44" s="128">
        <f t="shared" si="0"/>
        <v>19.829999999999998</v>
      </c>
      <c r="L44" s="99"/>
      <c r="M44" s="99"/>
      <c r="N44" s="99"/>
      <c r="O44" s="99"/>
      <c r="P44" s="99"/>
      <c r="Q44" s="99"/>
      <c r="R44" s="99"/>
      <c r="S44" s="99"/>
      <c r="T44" s="99"/>
    </row>
    <row r="45" spans="1:20" x14ac:dyDescent="0.35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</row>
    <row r="46" spans="1:20" x14ac:dyDescent="0.35">
      <c r="A46" s="484" t="s">
        <v>117</v>
      </c>
      <c r="B46" s="484"/>
      <c r="C46" s="484"/>
      <c r="D46" s="484"/>
      <c r="E46" s="484"/>
      <c r="F46" s="484"/>
      <c r="G46" s="484"/>
      <c r="H46" s="484"/>
      <c r="I46" s="484"/>
      <c r="J46" s="484"/>
      <c r="K46" s="129"/>
      <c r="L46" s="117"/>
      <c r="M46" s="117"/>
      <c r="N46" s="117"/>
      <c r="O46" s="117"/>
      <c r="P46" s="117"/>
      <c r="Q46" s="117"/>
      <c r="R46" s="117"/>
      <c r="S46" s="117"/>
      <c r="T46" s="117"/>
    </row>
    <row r="47" spans="1:20" x14ac:dyDescent="0.35">
      <c r="A47" s="37" t="s">
        <v>57</v>
      </c>
      <c r="B47" s="454" t="s">
        <v>24</v>
      </c>
      <c r="C47" s="454"/>
      <c r="D47" s="454"/>
      <c r="E47" s="454"/>
      <c r="F47" s="454"/>
      <c r="G47" s="454"/>
      <c r="H47" s="454"/>
      <c r="I47" s="454"/>
      <c r="J47" s="454"/>
      <c r="K47" s="96">
        <f>'Dados do Licitante'!L36</f>
        <v>188.02096</v>
      </c>
      <c r="L47" s="99"/>
      <c r="M47" s="109"/>
      <c r="N47" s="109"/>
      <c r="O47" s="109"/>
      <c r="P47" s="109"/>
      <c r="Q47" s="109"/>
      <c r="R47" s="109"/>
      <c r="S47" s="109"/>
      <c r="T47" s="109"/>
    </row>
    <row r="48" spans="1:20" x14ac:dyDescent="0.35">
      <c r="A48" s="37" t="s">
        <v>60</v>
      </c>
      <c r="B48" s="454" t="s">
        <v>33</v>
      </c>
      <c r="C48" s="454"/>
      <c r="D48" s="454"/>
      <c r="E48" s="454"/>
      <c r="F48" s="454"/>
      <c r="G48" s="454"/>
      <c r="H48" s="454"/>
      <c r="I48" s="454"/>
      <c r="J48" s="454"/>
      <c r="K48" s="96">
        <f>'Dados do Licitante'!G46</f>
        <v>568.83013199999994</v>
      </c>
      <c r="L48" s="99"/>
      <c r="M48" s="99"/>
      <c r="N48" s="99"/>
      <c r="O48" s="99"/>
      <c r="P48" s="99"/>
      <c r="Q48" s="99"/>
      <c r="R48" s="99"/>
      <c r="S48" s="99"/>
      <c r="T48" s="99"/>
    </row>
    <row r="49" spans="1:20" x14ac:dyDescent="0.35">
      <c r="A49" s="37" t="s">
        <v>64</v>
      </c>
      <c r="B49" s="454" t="s">
        <v>218</v>
      </c>
      <c r="C49" s="454"/>
      <c r="D49" s="454"/>
      <c r="E49" s="454"/>
      <c r="F49" s="454"/>
      <c r="G49" s="454"/>
      <c r="H49" s="454"/>
      <c r="I49" s="454"/>
      <c r="J49" s="454"/>
      <c r="K49" s="96">
        <f>'Dados do Licitante'!G50</f>
        <v>22.833600000000001</v>
      </c>
      <c r="L49" s="99"/>
      <c r="M49" s="99"/>
      <c r="N49" s="99"/>
      <c r="O49" s="99"/>
      <c r="P49" s="99"/>
      <c r="Q49" s="99"/>
      <c r="R49" s="99"/>
      <c r="S49" s="99"/>
      <c r="T49" s="99"/>
    </row>
    <row r="50" spans="1:20" x14ac:dyDescent="0.35">
      <c r="A50" s="37" t="s">
        <v>66</v>
      </c>
      <c r="B50" s="454" t="s">
        <v>41</v>
      </c>
      <c r="C50" s="454"/>
      <c r="D50" s="454"/>
      <c r="E50" s="454"/>
      <c r="F50" s="454"/>
      <c r="G50" s="454"/>
      <c r="H50" s="454"/>
      <c r="I50" s="454"/>
      <c r="J50" s="454"/>
      <c r="K50" s="96">
        <f>'Dados do Licitante'!E52</f>
        <v>0</v>
      </c>
      <c r="L50" s="99"/>
      <c r="M50" s="99"/>
      <c r="N50" s="99"/>
      <c r="O50" s="99"/>
      <c r="P50" s="99"/>
      <c r="Q50" s="99"/>
      <c r="R50" s="99"/>
      <c r="S50" s="99"/>
      <c r="T50" s="99"/>
    </row>
    <row r="51" spans="1:20" x14ac:dyDescent="0.35">
      <c r="A51" s="37" t="s">
        <v>68</v>
      </c>
      <c r="B51" s="454" t="s">
        <v>219</v>
      </c>
      <c r="C51" s="454"/>
      <c r="D51" s="454"/>
      <c r="E51" s="454"/>
      <c r="F51" s="454"/>
      <c r="G51" s="454"/>
      <c r="H51" s="454"/>
      <c r="I51" s="454"/>
      <c r="J51" s="454"/>
      <c r="K51" s="96">
        <f>'Dados do Licitante'!F56</f>
        <v>0</v>
      </c>
      <c r="L51" s="99"/>
      <c r="M51" s="99"/>
      <c r="N51" s="99"/>
      <c r="O51" s="99"/>
      <c r="P51" s="99"/>
      <c r="Q51" s="99"/>
      <c r="R51" s="99"/>
      <c r="S51" s="99"/>
      <c r="T51" s="99"/>
    </row>
    <row r="52" spans="1:20" x14ac:dyDescent="0.35">
      <c r="A52" s="37" t="s">
        <v>70</v>
      </c>
      <c r="B52" s="454" t="s">
        <v>220</v>
      </c>
      <c r="C52" s="454"/>
      <c r="D52" s="454"/>
      <c r="E52" s="454"/>
      <c r="F52" s="454"/>
      <c r="G52" s="454"/>
      <c r="H52" s="454"/>
      <c r="I52" s="454"/>
      <c r="J52" s="454"/>
      <c r="K52" s="96">
        <f>'Dados do Licitante'!G60</f>
        <v>10.33</v>
      </c>
      <c r="L52" s="99"/>
      <c r="M52" s="99"/>
      <c r="N52" s="99"/>
      <c r="O52" s="99"/>
      <c r="P52" s="99"/>
      <c r="Q52" s="99"/>
      <c r="R52" s="99"/>
      <c r="S52" s="99"/>
      <c r="T52" s="99"/>
    </row>
    <row r="53" spans="1:20" x14ac:dyDescent="0.35">
      <c r="A53" s="37" t="s">
        <v>72</v>
      </c>
      <c r="B53" s="454" t="s">
        <v>221</v>
      </c>
      <c r="C53" s="454"/>
      <c r="D53" s="454"/>
      <c r="E53" s="454"/>
      <c r="F53" s="454"/>
      <c r="G53" s="454"/>
      <c r="H53" s="454"/>
      <c r="I53" s="454"/>
      <c r="J53" s="454"/>
      <c r="K53" s="96">
        <f>'Dados do Licitante'!E62</f>
        <v>0</v>
      </c>
      <c r="L53" s="99"/>
      <c r="M53" s="99"/>
      <c r="N53" s="99"/>
      <c r="O53" s="99"/>
      <c r="P53" s="99"/>
      <c r="Q53" s="99"/>
      <c r="R53" s="99"/>
      <c r="S53" s="99"/>
      <c r="T53" s="99"/>
    </row>
    <row r="54" spans="1:20" x14ac:dyDescent="0.35">
      <c r="A54" s="37" t="s">
        <v>115</v>
      </c>
      <c r="B54" s="454" t="s">
        <v>222</v>
      </c>
      <c r="C54" s="454"/>
      <c r="D54" s="454"/>
      <c r="E54" s="454"/>
      <c r="F54" s="454"/>
      <c r="G54" s="454"/>
      <c r="H54" s="454"/>
      <c r="I54" s="454"/>
      <c r="J54" s="454"/>
      <c r="K54" s="96">
        <f>'Dados do Licitante'!E64</f>
        <v>0</v>
      </c>
      <c r="L54" s="99"/>
      <c r="M54" s="99"/>
      <c r="N54" s="99"/>
      <c r="O54" s="99"/>
      <c r="P54" s="99"/>
      <c r="Q54" s="99"/>
      <c r="R54" s="99"/>
      <c r="S54" s="99"/>
      <c r="T54" s="99"/>
    </row>
    <row r="55" spans="1:20" x14ac:dyDescent="0.35">
      <c r="A55" s="37" t="s">
        <v>118</v>
      </c>
      <c r="B55" s="454" t="s">
        <v>223</v>
      </c>
      <c r="C55" s="454"/>
      <c r="D55" s="454"/>
      <c r="E55" s="454"/>
      <c r="F55" s="454"/>
      <c r="G55" s="454"/>
      <c r="H55" s="454"/>
      <c r="I55" s="454"/>
      <c r="J55" s="454"/>
      <c r="K55" s="96">
        <f>'Dados do Licitante'!E66</f>
        <v>0</v>
      </c>
      <c r="L55" s="99"/>
      <c r="M55" s="99"/>
      <c r="N55" s="99"/>
      <c r="O55" s="99"/>
      <c r="P55" s="99"/>
      <c r="Q55" s="99"/>
      <c r="R55" s="99"/>
      <c r="S55" s="99"/>
      <c r="T55" s="99"/>
    </row>
    <row r="56" spans="1:20" x14ac:dyDescent="0.35">
      <c r="A56" s="37"/>
      <c r="B56" s="450" t="s">
        <v>119</v>
      </c>
      <c r="C56" s="450"/>
      <c r="D56" s="450"/>
      <c r="E56" s="450"/>
      <c r="F56" s="450"/>
      <c r="G56" s="450"/>
      <c r="H56" s="450"/>
      <c r="I56" s="450"/>
      <c r="J56" s="450"/>
      <c r="K56" s="102">
        <f>SUM(K47:K55)</f>
        <v>790.01469199999997</v>
      </c>
      <c r="L56" s="101"/>
      <c r="M56" s="101"/>
      <c r="N56" s="101"/>
      <c r="O56" s="101"/>
      <c r="P56" s="101"/>
      <c r="Q56" s="101"/>
      <c r="R56" s="101"/>
      <c r="S56" s="101"/>
      <c r="T56" s="101"/>
    </row>
    <row r="57" spans="1:20" x14ac:dyDescent="0.35">
      <c r="A57" s="478"/>
      <c r="B57" s="478"/>
      <c r="C57" s="478"/>
      <c r="D57" s="478"/>
      <c r="E57" s="478"/>
      <c r="F57" s="478"/>
      <c r="G57" s="478"/>
      <c r="H57" s="478"/>
      <c r="I57" s="478"/>
      <c r="J57" s="478"/>
      <c r="K57" s="478"/>
      <c r="M57" s="106"/>
      <c r="N57" s="106"/>
      <c r="O57" s="106"/>
      <c r="P57" s="106"/>
      <c r="Q57" s="106"/>
      <c r="R57" s="106"/>
      <c r="S57" s="106"/>
      <c r="T57" s="106"/>
    </row>
    <row r="58" spans="1:20" x14ac:dyDescent="0.35">
      <c r="A58" s="465" t="s">
        <v>120</v>
      </c>
      <c r="B58" s="465"/>
      <c r="C58" s="465"/>
      <c r="D58" s="465"/>
      <c r="E58" s="465"/>
      <c r="F58" s="465"/>
      <c r="G58" s="465"/>
      <c r="H58" s="465"/>
      <c r="I58" s="465"/>
      <c r="J58" s="465"/>
      <c r="K58" s="103"/>
      <c r="L58" s="117"/>
      <c r="M58" s="117"/>
      <c r="N58" s="117"/>
      <c r="O58" s="117"/>
      <c r="P58" s="117"/>
      <c r="Q58" s="117"/>
      <c r="R58" s="117"/>
      <c r="S58" s="117"/>
      <c r="T58" s="117"/>
    </row>
    <row r="59" spans="1:20" x14ac:dyDescent="0.35">
      <c r="A59" s="37" t="s">
        <v>121</v>
      </c>
      <c r="B59" s="454" t="s">
        <v>122</v>
      </c>
      <c r="C59" s="454"/>
      <c r="D59" s="454"/>
      <c r="E59" s="454"/>
      <c r="F59" s="454"/>
      <c r="G59" s="454"/>
      <c r="H59" s="454"/>
      <c r="I59" s="454"/>
      <c r="J59" s="73">
        <f>J32</f>
        <v>0.11360000000000001</v>
      </c>
      <c r="K59" s="96">
        <f>K32</f>
        <v>337.2</v>
      </c>
      <c r="L59" s="99"/>
      <c r="M59" s="99"/>
      <c r="N59" s="99"/>
      <c r="O59" s="99"/>
      <c r="P59" s="99"/>
      <c r="Q59" s="99"/>
      <c r="R59" s="99"/>
      <c r="S59" s="99"/>
      <c r="T59" s="99"/>
    </row>
    <row r="60" spans="1:20" x14ac:dyDescent="0.35">
      <c r="A60" s="37" t="s">
        <v>123</v>
      </c>
      <c r="B60" s="454" t="s">
        <v>124</v>
      </c>
      <c r="C60" s="454"/>
      <c r="D60" s="454"/>
      <c r="E60" s="454"/>
      <c r="F60" s="454"/>
      <c r="G60" s="454"/>
      <c r="H60" s="454"/>
      <c r="I60" s="454"/>
      <c r="J60" s="73">
        <f>J36</f>
        <v>0.3680000000000001</v>
      </c>
      <c r="K60" s="96">
        <f>K36</f>
        <v>1216.4100000000001</v>
      </c>
      <c r="L60" s="99"/>
      <c r="M60" s="99"/>
      <c r="N60" s="99"/>
      <c r="O60" s="99"/>
      <c r="P60" s="99"/>
      <c r="Q60" s="99"/>
      <c r="R60" s="99"/>
      <c r="S60" s="99"/>
      <c r="T60" s="99"/>
    </row>
    <row r="61" spans="1:20" x14ac:dyDescent="0.35">
      <c r="A61" s="37" t="s">
        <v>125</v>
      </c>
      <c r="B61" s="454" t="s">
        <v>126</v>
      </c>
      <c r="C61" s="454"/>
      <c r="D61" s="454"/>
      <c r="E61" s="454"/>
      <c r="F61" s="454"/>
      <c r="G61" s="454"/>
      <c r="H61" s="454"/>
      <c r="I61" s="454"/>
      <c r="J61" s="454"/>
      <c r="K61" s="96">
        <f>K56</f>
        <v>790.01469199999997</v>
      </c>
      <c r="L61" s="99"/>
      <c r="M61" s="99"/>
      <c r="N61" s="99"/>
      <c r="O61" s="99"/>
      <c r="P61" s="99"/>
      <c r="Q61" s="99"/>
      <c r="R61" s="99"/>
      <c r="S61" s="99"/>
      <c r="T61" s="99"/>
    </row>
    <row r="62" spans="1:20" x14ac:dyDescent="0.35">
      <c r="A62" s="72"/>
      <c r="B62" s="464" t="s">
        <v>119</v>
      </c>
      <c r="C62" s="464"/>
      <c r="D62" s="464"/>
      <c r="E62" s="464"/>
      <c r="F62" s="464"/>
      <c r="G62" s="464"/>
      <c r="H62" s="464"/>
      <c r="I62" s="464"/>
      <c r="J62" s="464"/>
      <c r="K62" s="97">
        <f>K59+K60+K61</f>
        <v>2343.6246920000003</v>
      </c>
      <c r="L62" s="101"/>
      <c r="M62" s="101"/>
      <c r="N62" s="101"/>
      <c r="O62" s="101"/>
      <c r="P62" s="101"/>
      <c r="Q62" s="101"/>
      <c r="R62" s="101"/>
      <c r="S62" s="101"/>
      <c r="T62" s="101"/>
    </row>
    <row r="63" spans="1:20" x14ac:dyDescent="0.35">
      <c r="A63" s="478"/>
      <c r="B63" s="478"/>
      <c r="C63" s="478"/>
      <c r="D63" s="478"/>
      <c r="E63" s="478"/>
      <c r="F63" s="478"/>
      <c r="G63" s="478"/>
      <c r="H63" s="478"/>
      <c r="I63" s="478"/>
      <c r="J63" s="478"/>
      <c r="K63" s="478"/>
      <c r="M63" s="122"/>
      <c r="N63" s="122"/>
      <c r="O63" s="122"/>
      <c r="P63" s="122"/>
      <c r="Q63" s="122"/>
      <c r="R63" s="122"/>
      <c r="S63" s="122"/>
      <c r="T63" s="122"/>
    </row>
    <row r="64" spans="1:20" x14ac:dyDescent="0.35">
      <c r="A64" s="479" t="s">
        <v>127</v>
      </c>
      <c r="B64" s="479"/>
      <c r="C64" s="479"/>
      <c r="D64" s="479"/>
      <c r="E64" s="479"/>
      <c r="F64" s="479"/>
      <c r="G64" s="479"/>
      <c r="H64" s="479"/>
      <c r="I64" s="479"/>
      <c r="J64" s="479"/>
      <c r="K64" s="103"/>
      <c r="L64" s="117"/>
      <c r="M64" s="117"/>
      <c r="N64" s="117"/>
      <c r="O64" s="117"/>
      <c r="P64" s="117"/>
      <c r="Q64" s="117"/>
      <c r="R64" s="117"/>
      <c r="S64" s="117"/>
      <c r="T64" s="117"/>
    </row>
    <row r="65" spans="1:20" x14ac:dyDescent="0.35">
      <c r="A65" s="486" t="s">
        <v>128</v>
      </c>
      <c r="B65" s="486"/>
      <c r="C65" s="486"/>
      <c r="D65" s="486"/>
      <c r="E65" s="486"/>
      <c r="F65" s="486"/>
      <c r="G65" s="486"/>
      <c r="H65" s="486"/>
      <c r="I65" s="486"/>
      <c r="J65" s="486"/>
      <c r="K65" s="110">
        <f>K35</f>
        <v>3305.5680000000002</v>
      </c>
      <c r="L65" s="111"/>
      <c r="M65" s="111"/>
      <c r="N65" s="111"/>
      <c r="O65" s="111"/>
      <c r="P65" s="111"/>
      <c r="Q65" s="111"/>
      <c r="R65" s="111"/>
      <c r="S65" s="111"/>
      <c r="T65" s="111"/>
    </row>
    <row r="66" spans="1:20" x14ac:dyDescent="0.35">
      <c r="A66" s="37" t="s">
        <v>57</v>
      </c>
      <c r="B66" s="490" t="s">
        <v>129</v>
      </c>
      <c r="C66" s="490"/>
      <c r="D66" s="79">
        <v>30</v>
      </c>
      <c r="E66" s="80" t="s">
        <v>130</v>
      </c>
      <c r="F66" s="491" t="s">
        <v>131</v>
      </c>
      <c r="G66" s="492"/>
      <c r="H66" s="493">
        <f>'Dados do Licitante'!G69</f>
        <v>5.5500000000000001E-2</v>
      </c>
      <c r="I66" s="494"/>
      <c r="J66" s="81">
        <f>D66/360*H66</f>
        <v>4.6249999999999998E-3</v>
      </c>
      <c r="K66" s="96">
        <f>TRUNC(K$65*$J66,2)</f>
        <v>15.28</v>
      </c>
      <c r="L66" s="99"/>
      <c r="M66" s="99"/>
      <c r="N66" s="99"/>
      <c r="O66" s="99"/>
      <c r="P66" s="99"/>
      <c r="Q66" s="99"/>
      <c r="R66" s="99"/>
      <c r="S66" s="99"/>
      <c r="T66" s="99"/>
    </row>
    <row r="67" spans="1:20" x14ac:dyDescent="0.35">
      <c r="A67" s="37" t="s">
        <v>60</v>
      </c>
      <c r="B67" s="495" t="s">
        <v>132</v>
      </c>
      <c r="C67" s="495"/>
      <c r="D67" s="495"/>
      <c r="E67" s="495"/>
      <c r="F67" s="495"/>
      <c r="G67" s="495"/>
      <c r="H67" s="495"/>
      <c r="I67" s="495"/>
      <c r="J67" s="81">
        <f>J42*J66</f>
        <v>3.6999999999999999E-4</v>
      </c>
      <c r="K67" s="96">
        <f>TRUNC(K$65*$J67,2)</f>
        <v>1.22</v>
      </c>
      <c r="L67" s="99"/>
      <c r="M67" s="99"/>
      <c r="N67" s="99"/>
      <c r="O67" s="99"/>
      <c r="P67" s="99"/>
      <c r="Q67" s="99"/>
      <c r="R67" s="99"/>
      <c r="S67" s="99"/>
      <c r="T67" s="99"/>
    </row>
    <row r="68" spans="1:20" x14ac:dyDescent="0.35">
      <c r="A68" s="37" t="s">
        <v>64</v>
      </c>
      <c r="B68" s="454" t="s">
        <v>133</v>
      </c>
      <c r="C68" s="454"/>
      <c r="D68" s="454"/>
      <c r="E68" s="454"/>
      <c r="F68" s="496" t="s">
        <v>131</v>
      </c>
      <c r="G68" s="496"/>
      <c r="H68" s="497">
        <f>'Dados do Licitante'!G70</f>
        <v>0.94450000000000001</v>
      </c>
      <c r="I68" s="498"/>
      <c r="J68" s="82">
        <f>7/30/K9*H68</f>
        <v>1.1019166666666667E-2</v>
      </c>
      <c r="K68" s="96">
        <f>TRUNC(K$65*$J68,2)</f>
        <v>36.42</v>
      </c>
      <c r="L68" s="99"/>
      <c r="M68" s="99"/>
      <c r="N68" s="99"/>
      <c r="O68" s="99"/>
      <c r="P68" s="99"/>
      <c r="Q68" s="99"/>
      <c r="R68" s="99"/>
      <c r="S68" s="99"/>
      <c r="T68" s="99"/>
    </row>
    <row r="69" spans="1:20" x14ac:dyDescent="0.35">
      <c r="A69" s="37" t="s">
        <v>66</v>
      </c>
      <c r="B69" s="485" t="s">
        <v>134</v>
      </c>
      <c r="C69" s="485"/>
      <c r="D69" s="485"/>
      <c r="E69" s="485"/>
      <c r="F69" s="485"/>
      <c r="G69" s="485"/>
      <c r="H69" s="485"/>
      <c r="I69" s="485"/>
      <c r="J69" s="81">
        <f>J68*J36</f>
        <v>4.0550533333333343E-3</v>
      </c>
      <c r="K69" s="96">
        <f>TRUNC(K$65*$J69,2)</f>
        <v>13.4</v>
      </c>
      <c r="L69" s="99"/>
      <c r="M69" s="99"/>
      <c r="N69" s="99"/>
      <c r="O69" s="99"/>
      <c r="P69" s="99"/>
      <c r="Q69" s="99"/>
      <c r="R69" s="99"/>
      <c r="S69" s="99"/>
      <c r="T69" s="99"/>
    </row>
    <row r="70" spans="1:20" x14ac:dyDescent="0.35">
      <c r="A70" s="486" t="s">
        <v>135</v>
      </c>
      <c r="B70" s="487"/>
      <c r="C70" s="487"/>
      <c r="D70" s="487"/>
      <c r="E70" s="487"/>
      <c r="F70" s="487"/>
      <c r="G70" s="487"/>
      <c r="H70" s="487"/>
      <c r="I70" s="487"/>
      <c r="J70" s="488"/>
      <c r="K70" s="110">
        <f>K26</f>
        <v>2968.3680000000004</v>
      </c>
      <c r="L70" s="111"/>
      <c r="M70" s="111"/>
      <c r="N70" s="111"/>
      <c r="O70" s="111"/>
      <c r="P70" s="111"/>
      <c r="Q70" s="111"/>
      <c r="R70" s="111"/>
      <c r="S70" s="111"/>
      <c r="T70" s="111"/>
    </row>
    <row r="71" spans="1:20" x14ac:dyDescent="0.35">
      <c r="A71" s="37" t="s">
        <v>68</v>
      </c>
      <c r="B71" s="454" t="s">
        <v>136</v>
      </c>
      <c r="C71" s="454"/>
      <c r="D71" s="454"/>
      <c r="E71" s="454"/>
      <c r="F71" s="454"/>
      <c r="G71" s="454"/>
      <c r="H71" s="454"/>
      <c r="I71" s="454"/>
      <c r="J71" s="73">
        <v>0.04</v>
      </c>
      <c r="K71" s="96">
        <f>TRUNC(K70*$J71,2)</f>
        <v>118.73</v>
      </c>
      <c r="L71" s="99"/>
      <c r="M71" s="99"/>
      <c r="N71" s="99"/>
      <c r="O71" s="99"/>
      <c r="P71" s="99"/>
      <c r="Q71" s="99"/>
      <c r="R71" s="99"/>
      <c r="S71" s="99"/>
      <c r="T71" s="99"/>
    </row>
    <row r="72" spans="1:20" x14ac:dyDescent="0.35">
      <c r="A72" s="464" t="s">
        <v>119</v>
      </c>
      <c r="B72" s="464"/>
      <c r="C72" s="464"/>
      <c r="D72" s="464"/>
      <c r="E72" s="464"/>
      <c r="F72" s="464"/>
      <c r="G72" s="464"/>
      <c r="H72" s="464"/>
      <c r="I72" s="464"/>
      <c r="J72" s="83"/>
      <c r="K72" s="97">
        <f>K66+K67+K68+K69+K71</f>
        <v>185.05</v>
      </c>
      <c r="L72" s="101"/>
      <c r="M72" s="101"/>
      <c r="N72" s="101"/>
      <c r="O72" s="101"/>
      <c r="P72" s="101"/>
      <c r="Q72" s="101"/>
      <c r="R72" s="101"/>
      <c r="S72" s="101"/>
      <c r="T72" s="101"/>
    </row>
    <row r="73" spans="1:20" x14ac:dyDescent="0.35">
      <c r="A73" s="478"/>
      <c r="B73" s="478"/>
      <c r="C73" s="478"/>
      <c r="D73" s="478"/>
      <c r="E73" s="478"/>
      <c r="F73" s="478"/>
      <c r="G73" s="478"/>
      <c r="H73" s="478"/>
      <c r="I73" s="478"/>
      <c r="J73" s="478"/>
      <c r="K73" s="478"/>
      <c r="M73" s="106"/>
      <c r="N73" s="106"/>
      <c r="O73" s="106"/>
      <c r="P73" s="106"/>
      <c r="Q73" s="106"/>
      <c r="R73" s="106"/>
      <c r="S73" s="106"/>
      <c r="T73" s="106"/>
    </row>
    <row r="74" spans="1:20" x14ac:dyDescent="0.35">
      <c r="A74" s="465" t="s">
        <v>137</v>
      </c>
      <c r="B74" s="465"/>
      <c r="C74" s="465"/>
      <c r="D74" s="465"/>
      <c r="E74" s="465"/>
      <c r="F74" s="465"/>
      <c r="G74" s="465"/>
      <c r="H74" s="465"/>
      <c r="I74" s="465"/>
      <c r="J74" s="465"/>
      <c r="K74" s="489"/>
      <c r="L74" s="117"/>
      <c r="M74" s="117"/>
      <c r="N74" s="117"/>
      <c r="O74" s="117"/>
      <c r="P74" s="117"/>
      <c r="Q74" s="117"/>
      <c r="R74" s="117"/>
      <c r="S74" s="117"/>
      <c r="T74" s="117"/>
    </row>
    <row r="75" spans="1:20" x14ac:dyDescent="0.35">
      <c r="A75" s="465" t="s">
        <v>138</v>
      </c>
      <c r="B75" s="465"/>
      <c r="C75" s="465"/>
      <c r="D75" s="465"/>
      <c r="E75" s="465"/>
      <c r="F75" s="465"/>
      <c r="G75" s="465"/>
      <c r="H75" s="465"/>
      <c r="I75" s="465"/>
      <c r="J75" s="465"/>
      <c r="K75" s="489"/>
      <c r="L75" s="117"/>
      <c r="M75" s="117"/>
      <c r="N75" s="117"/>
      <c r="O75" s="117"/>
      <c r="P75" s="117"/>
      <c r="Q75" s="117"/>
      <c r="R75" s="117"/>
      <c r="S75" s="117"/>
      <c r="T75" s="117"/>
    </row>
    <row r="76" spans="1:20" x14ac:dyDescent="0.35">
      <c r="A76" s="501" t="s">
        <v>139</v>
      </c>
      <c r="B76" s="487"/>
      <c r="C76" s="487"/>
      <c r="D76" s="487"/>
      <c r="E76" s="487"/>
      <c r="F76" s="487"/>
      <c r="G76" s="487"/>
      <c r="H76" s="487"/>
      <c r="I76" s="487"/>
      <c r="J76" s="488"/>
      <c r="K76" s="110">
        <f>K26+K36</f>
        <v>4184.7780000000002</v>
      </c>
      <c r="L76" s="111"/>
      <c r="M76" s="111"/>
      <c r="N76" s="111"/>
      <c r="O76" s="111"/>
      <c r="P76" s="111"/>
      <c r="Q76" s="111"/>
      <c r="R76" s="111"/>
      <c r="S76" s="111"/>
      <c r="T76" s="111"/>
    </row>
    <row r="77" spans="1:20" x14ac:dyDescent="0.35">
      <c r="A77" s="37" t="s">
        <v>57</v>
      </c>
      <c r="B77" s="454" t="s">
        <v>140</v>
      </c>
      <c r="C77" s="454"/>
      <c r="D77" s="454"/>
      <c r="E77" s="454"/>
      <c r="F77" s="454"/>
      <c r="G77" s="454"/>
      <c r="H77" s="454"/>
      <c r="I77" s="454"/>
      <c r="J77" s="73">
        <v>9.0899999999999995E-2</v>
      </c>
      <c r="K77" s="96">
        <f>TRUNC(K76*$J77,2)</f>
        <v>380.39</v>
      </c>
      <c r="L77" s="99"/>
      <c r="M77" s="99"/>
      <c r="N77" s="99"/>
      <c r="O77" s="99"/>
      <c r="P77" s="99"/>
      <c r="Q77" s="99"/>
      <c r="R77" s="99"/>
      <c r="S77" s="99"/>
      <c r="T77" s="99"/>
    </row>
    <row r="78" spans="1:20" x14ac:dyDescent="0.35">
      <c r="A78" s="486" t="s">
        <v>141</v>
      </c>
      <c r="B78" s="486"/>
      <c r="C78" s="486"/>
      <c r="D78" s="486"/>
      <c r="E78" s="486"/>
      <c r="F78" s="486"/>
      <c r="G78" s="486"/>
      <c r="H78" s="486"/>
      <c r="I78" s="486"/>
      <c r="J78" s="486"/>
      <c r="K78" s="110">
        <f>K26+K62-(K47+K48)+K72</f>
        <v>4740.191600000001</v>
      </c>
      <c r="L78" s="111"/>
      <c r="M78" s="111"/>
      <c r="N78" s="111"/>
      <c r="O78" s="111"/>
      <c r="P78" s="111"/>
      <c r="Q78" s="111"/>
      <c r="R78" s="111"/>
      <c r="S78" s="111"/>
      <c r="T78" s="111"/>
    </row>
    <row r="79" spans="1:20" x14ac:dyDescent="0.35">
      <c r="A79" s="37" t="s">
        <v>60</v>
      </c>
      <c r="B79" s="454" t="s">
        <v>142</v>
      </c>
      <c r="C79" s="454"/>
      <c r="D79" s="454"/>
      <c r="E79" s="454"/>
      <c r="F79" s="454"/>
      <c r="G79" s="454"/>
      <c r="H79" s="454"/>
      <c r="I79" s="454"/>
      <c r="J79" s="81">
        <f>'Dados do Licitante'!H74</f>
        <v>8.21917808219178E-3</v>
      </c>
      <c r="K79" s="96">
        <f t="shared" ref="K79:K84" si="1">TRUNC(K$78*$J79,2)</f>
        <v>38.96</v>
      </c>
      <c r="L79" s="99"/>
      <c r="M79" s="99"/>
      <c r="N79" s="99"/>
      <c r="O79" s="99"/>
      <c r="P79" s="99"/>
      <c r="Q79" s="99"/>
      <c r="R79" s="99"/>
      <c r="S79" s="99"/>
      <c r="T79" s="99"/>
    </row>
    <row r="80" spans="1:20" x14ac:dyDescent="0.35">
      <c r="A80" s="37" t="s">
        <v>64</v>
      </c>
      <c r="B80" s="454" t="s">
        <v>143</v>
      </c>
      <c r="C80" s="454"/>
      <c r="D80" s="454"/>
      <c r="E80" s="454"/>
      <c r="F80" s="454"/>
      <c r="G80" s="454"/>
      <c r="H80" s="454"/>
      <c r="I80" s="454"/>
      <c r="J80" s="81">
        <f>'Dados do Licitante'!H75</f>
        <v>8.21917808219178E-3</v>
      </c>
      <c r="K80" s="96">
        <f t="shared" si="1"/>
        <v>38.96</v>
      </c>
      <c r="L80" s="99"/>
      <c r="M80" s="99"/>
      <c r="N80" s="99"/>
      <c r="O80" s="99"/>
      <c r="P80" s="99"/>
      <c r="Q80" s="99"/>
      <c r="R80" s="99"/>
      <c r="S80" s="99"/>
      <c r="T80" s="99"/>
    </row>
    <row r="81" spans="1:20" x14ac:dyDescent="0.35">
      <c r="A81" s="37" t="s">
        <v>66</v>
      </c>
      <c r="B81" s="454" t="s">
        <v>144</v>
      </c>
      <c r="C81" s="454"/>
      <c r="D81" s="454"/>
      <c r="E81" s="454"/>
      <c r="F81" s="454"/>
      <c r="G81" s="454"/>
      <c r="H81" s="454"/>
      <c r="I81" s="454"/>
      <c r="J81" s="81">
        <f>'Dados do Licitante'!H76</f>
        <v>8.1205479452054787E-4</v>
      </c>
      <c r="K81" s="96">
        <f t="shared" si="1"/>
        <v>3.84</v>
      </c>
      <c r="L81" s="99"/>
      <c r="M81" s="99"/>
      <c r="N81" s="99"/>
      <c r="O81" s="99"/>
      <c r="P81" s="99"/>
      <c r="Q81" s="99"/>
      <c r="R81" s="99"/>
      <c r="S81" s="99"/>
      <c r="T81" s="99"/>
    </row>
    <row r="82" spans="1:20" x14ac:dyDescent="0.35">
      <c r="A82" s="37" t="s">
        <v>68</v>
      </c>
      <c r="B82" s="499" t="s">
        <v>145</v>
      </c>
      <c r="C82" s="499"/>
      <c r="D82" s="499"/>
      <c r="E82" s="499"/>
      <c r="F82" s="499"/>
      <c r="G82" s="499"/>
      <c r="H82" s="499"/>
      <c r="I82" s="499"/>
      <c r="J82" s="81">
        <f>'Dados do Licitante'!H77</f>
        <v>2.7397260273972603E-3</v>
      </c>
      <c r="K82" s="96">
        <f t="shared" si="1"/>
        <v>12.98</v>
      </c>
      <c r="L82" s="99"/>
      <c r="M82" s="99"/>
      <c r="N82" s="99"/>
      <c r="O82" s="99"/>
      <c r="P82" s="99"/>
      <c r="Q82" s="99"/>
      <c r="R82" s="99"/>
      <c r="S82" s="99"/>
      <c r="T82" s="99"/>
    </row>
    <row r="83" spans="1:20" x14ac:dyDescent="0.35">
      <c r="A83" s="37" t="s">
        <v>70</v>
      </c>
      <c r="B83" s="499" t="s">
        <v>146</v>
      </c>
      <c r="C83" s="499"/>
      <c r="D83" s="499"/>
      <c r="E83" s="499"/>
      <c r="F83" s="499"/>
      <c r="G83" s="499"/>
      <c r="H83" s="499"/>
      <c r="I83" s="499"/>
      <c r="J83" s="81">
        <f>'Dados do Licitante'!H78</f>
        <v>2.1289717479452052E-4</v>
      </c>
      <c r="K83" s="96">
        <f t="shared" si="1"/>
        <v>1</v>
      </c>
      <c r="L83" s="99"/>
      <c r="M83" s="99"/>
      <c r="N83" s="99"/>
      <c r="O83" s="99"/>
      <c r="P83" s="99"/>
      <c r="Q83" s="99"/>
      <c r="R83" s="99"/>
      <c r="S83" s="99"/>
      <c r="T83" s="99"/>
    </row>
    <row r="84" spans="1:20" x14ac:dyDescent="0.35">
      <c r="A84" s="37" t="s">
        <v>72</v>
      </c>
      <c r="B84" s="454" t="s">
        <v>53</v>
      </c>
      <c r="C84" s="454"/>
      <c r="D84" s="454"/>
      <c r="E84" s="454"/>
      <c r="F84" s="454"/>
      <c r="G84" s="454"/>
      <c r="H84" s="454"/>
      <c r="I84" s="454"/>
      <c r="J84" s="81">
        <v>0</v>
      </c>
      <c r="K84" s="96">
        <f t="shared" si="1"/>
        <v>0</v>
      </c>
      <c r="L84" s="99"/>
      <c r="M84" s="99"/>
      <c r="N84" s="99"/>
      <c r="O84" s="99"/>
      <c r="P84" s="99"/>
      <c r="Q84" s="99"/>
      <c r="R84" s="99"/>
      <c r="S84" s="99"/>
      <c r="T84" s="99"/>
    </row>
    <row r="85" spans="1:20" x14ac:dyDescent="0.35">
      <c r="A85" s="450" t="s">
        <v>119</v>
      </c>
      <c r="B85" s="450"/>
      <c r="C85" s="450"/>
      <c r="D85" s="450"/>
      <c r="E85" s="450"/>
      <c r="F85" s="450"/>
      <c r="G85" s="450"/>
      <c r="H85" s="450"/>
      <c r="I85" s="450"/>
      <c r="J85" s="74"/>
      <c r="K85" s="102">
        <f>K77+K79+K80+K81+K82+K83+K84</f>
        <v>476.12999999999994</v>
      </c>
      <c r="L85" s="99"/>
      <c r="M85" s="99"/>
      <c r="N85" s="99"/>
      <c r="O85" s="99"/>
      <c r="P85" s="99"/>
      <c r="Q85" s="99"/>
      <c r="R85" s="99"/>
      <c r="S85" s="99"/>
      <c r="T85" s="99"/>
    </row>
    <row r="86" spans="1:20" x14ac:dyDescent="0.35">
      <c r="A86" s="502"/>
      <c r="B86" s="502"/>
      <c r="C86" s="502"/>
      <c r="D86" s="502"/>
      <c r="E86" s="502"/>
      <c r="F86" s="502"/>
      <c r="G86" s="502"/>
      <c r="H86" s="502"/>
      <c r="I86" s="502"/>
      <c r="J86" s="502"/>
      <c r="K86" s="502"/>
      <c r="L86" s="101"/>
      <c r="M86" s="101"/>
      <c r="N86" s="101"/>
      <c r="O86" s="101"/>
      <c r="P86" s="101"/>
      <c r="Q86" s="101"/>
      <c r="R86" s="101"/>
      <c r="S86" s="101"/>
      <c r="T86" s="101"/>
    </row>
    <row r="87" spans="1:20" x14ac:dyDescent="0.35">
      <c r="A87" s="465" t="s">
        <v>147</v>
      </c>
      <c r="B87" s="465"/>
      <c r="C87" s="465"/>
      <c r="D87" s="465"/>
      <c r="E87" s="465"/>
      <c r="F87" s="465"/>
      <c r="G87" s="465"/>
      <c r="H87" s="465"/>
      <c r="I87" s="465"/>
      <c r="J87" s="465"/>
      <c r="K87" s="103"/>
      <c r="M87" s="106"/>
      <c r="N87" s="106"/>
      <c r="O87" s="106"/>
      <c r="P87" s="106"/>
      <c r="Q87" s="106"/>
      <c r="R87" s="106"/>
      <c r="S87" s="106"/>
      <c r="T87" s="106"/>
    </row>
    <row r="88" spans="1:20" x14ac:dyDescent="0.35">
      <c r="A88" s="37" t="s">
        <v>57</v>
      </c>
      <c r="B88" s="454" t="s">
        <v>148</v>
      </c>
      <c r="C88" s="454"/>
      <c r="D88" s="454"/>
      <c r="E88" s="454"/>
      <c r="F88" s="454"/>
      <c r="G88" s="454"/>
      <c r="H88" s="454"/>
      <c r="I88" s="454"/>
      <c r="J88" s="84"/>
      <c r="K88" s="112">
        <v>0</v>
      </c>
      <c r="L88" s="117"/>
      <c r="M88" s="117"/>
      <c r="N88" s="117"/>
      <c r="O88" s="117"/>
      <c r="P88" s="117"/>
      <c r="Q88" s="117"/>
      <c r="R88" s="117"/>
      <c r="S88" s="117"/>
      <c r="T88" s="117"/>
    </row>
    <row r="89" spans="1:20" x14ac:dyDescent="0.35">
      <c r="A89" s="450" t="s">
        <v>119</v>
      </c>
      <c r="B89" s="450" t="s">
        <v>119</v>
      </c>
      <c r="C89" s="450"/>
      <c r="D89" s="450"/>
      <c r="E89" s="450"/>
      <c r="F89" s="450"/>
      <c r="G89" s="450"/>
      <c r="H89" s="450"/>
      <c r="I89" s="450"/>
      <c r="J89" s="74"/>
      <c r="K89" s="102">
        <f>K88</f>
        <v>0</v>
      </c>
      <c r="L89" s="113"/>
      <c r="M89" s="113"/>
      <c r="N89" s="113"/>
      <c r="O89" s="113"/>
      <c r="P89" s="113"/>
      <c r="Q89" s="113"/>
      <c r="R89" s="113"/>
      <c r="S89" s="113"/>
      <c r="T89" s="113"/>
    </row>
    <row r="90" spans="1:20" x14ac:dyDescent="0.35">
      <c r="A90" s="502"/>
      <c r="B90" s="502"/>
      <c r="C90" s="502"/>
      <c r="D90" s="502"/>
      <c r="E90" s="502"/>
      <c r="F90" s="502"/>
      <c r="G90" s="502"/>
      <c r="H90" s="502"/>
      <c r="I90" s="502"/>
      <c r="J90" s="502"/>
      <c r="K90" s="503"/>
      <c r="L90" s="101"/>
      <c r="M90" s="101"/>
      <c r="N90" s="101"/>
      <c r="O90" s="101"/>
      <c r="P90" s="101"/>
      <c r="Q90" s="101"/>
      <c r="R90" s="101"/>
      <c r="S90" s="101"/>
      <c r="T90" s="101"/>
    </row>
    <row r="91" spans="1:20" x14ac:dyDescent="0.35">
      <c r="A91" s="450" t="s">
        <v>149</v>
      </c>
      <c r="B91" s="450"/>
      <c r="C91" s="450"/>
      <c r="D91" s="450"/>
      <c r="E91" s="450"/>
      <c r="F91" s="450"/>
      <c r="G91" s="450"/>
      <c r="H91" s="450"/>
      <c r="I91" s="450"/>
      <c r="J91" s="450"/>
      <c r="K91" s="103"/>
      <c r="M91" s="106"/>
      <c r="N91" s="106"/>
      <c r="O91" s="106"/>
      <c r="P91" s="106"/>
      <c r="Q91" s="106"/>
      <c r="R91" s="106"/>
      <c r="S91" s="106"/>
      <c r="T91" s="106"/>
    </row>
    <row r="92" spans="1:20" x14ac:dyDescent="0.35">
      <c r="A92" s="37" t="s">
        <v>150</v>
      </c>
      <c r="B92" s="454" t="s">
        <v>151</v>
      </c>
      <c r="C92" s="454"/>
      <c r="D92" s="454"/>
      <c r="E92" s="454"/>
      <c r="F92" s="454"/>
      <c r="G92" s="454"/>
      <c r="H92" s="454"/>
      <c r="I92" s="454"/>
      <c r="J92" s="85"/>
      <c r="K92" s="96">
        <f>K85</f>
        <v>476.12999999999994</v>
      </c>
      <c r="L92" s="117"/>
      <c r="M92" s="117"/>
      <c r="N92" s="117"/>
      <c r="O92" s="117"/>
      <c r="P92" s="117"/>
      <c r="Q92" s="117"/>
      <c r="R92" s="117"/>
      <c r="S92" s="117"/>
      <c r="T92" s="117"/>
    </row>
    <row r="93" spans="1:20" x14ac:dyDescent="0.35">
      <c r="A93" s="37" t="s">
        <v>152</v>
      </c>
      <c r="B93" s="454" t="s">
        <v>153</v>
      </c>
      <c r="C93" s="454"/>
      <c r="D93" s="454"/>
      <c r="E93" s="454"/>
      <c r="F93" s="454"/>
      <c r="G93" s="454"/>
      <c r="H93" s="454"/>
      <c r="I93" s="454"/>
      <c r="J93" s="85"/>
      <c r="K93" s="96">
        <f>K89</f>
        <v>0</v>
      </c>
      <c r="L93" s="99"/>
      <c r="M93" s="99"/>
      <c r="N93" s="99"/>
      <c r="O93" s="99"/>
      <c r="P93" s="99"/>
      <c r="Q93" s="99"/>
      <c r="R93" s="99"/>
      <c r="S93" s="99"/>
      <c r="T93" s="99"/>
    </row>
    <row r="94" spans="1:20" x14ac:dyDescent="0.35">
      <c r="A94" s="464" t="s">
        <v>119</v>
      </c>
      <c r="B94" s="464" t="s">
        <v>119</v>
      </c>
      <c r="C94" s="464"/>
      <c r="D94" s="464"/>
      <c r="E94" s="464"/>
      <c r="F94" s="464"/>
      <c r="G94" s="464"/>
      <c r="H94" s="464"/>
      <c r="I94" s="464"/>
      <c r="J94" s="83"/>
      <c r="K94" s="97">
        <f>K92+K93</f>
        <v>476.12999999999994</v>
      </c>
      <c r="L94" s="99"/>
      <c r="M94" s="99"/>
      <c r="N94" s="99"/>
      <c r="O94" s="99"/>
      <c r="P94" s="99"/>
      <c r="Q94" s="99"/>
      <c r="R94" s="99"/>
      <c r="S94" s="99"/>
      <c r="T94" s="99"/>
    </row>
    <row r="95" spans="1:20" x14ac:dyDescent="0.35">
      <c r="A95" s="502"/>
      <c r="B95" s="502"/>
      <c r="C95" s="502"/>
      <c r="D95" s="502"/>
      <c r="E95" s="502"/>
      <c r="F95" s="502"/>
      <c r="G95" s="502"/>
      <c r="H95" s="502"/>
      <c r="I95" s="502"/>
      <c r="J95" s="502"/>
      <c r="K95" s="503"/>
      <c r="L95" s="101"/>
      <c r="M95" s="101"/>
      <c r="N95" s="101"/>
      <c r="O95" s="101"/>
      <c r="P95" s="101"/>
      <c r="Q95" s="101"/>
      <c r="R95" s="101"/>
      <c r="S95" s="101"/>
      <c r="T95" s="101"/>
    </row>
    <row r="96" spans="1:20" x14ac:dyDescent="0.35">
      <c r="A96" s="465" t="s">
        <v>154</v>
      </c>
      <c r="B96" s="465"/>
      <c r="C96" s="465"/>
      <c r="D96" s="465"/>
      <c r="E96" s="465"/>
      <c r="F96" s="465"/>
      <c r="G96" s="465"/>
      <c r="H96" s="465"/>
      <c r="I96" s="465"/>
      <c r="J96" s="465"/>
      <c r="K96" s="103"/>
      <c r="M96" s="106"/>
      <c r="N96" s="106"/>
      <c r="O96" s="106"/>
      <c r="P96" s="106"/>
      <c r="Q96" s="106"/>
      <c r="R96" s="106"/>
      <c r="S96" s="106"/>
      <c r="T96" s="106"/>
    </row>
    <row r="97" spans="1:20" x14ac:dyDescent="0.35">
      <c r="A97" s="37" t="s">
        <v>57</v>
      </c>
      <c r="B97" s="454" t="s">
        <v>206</v>
      </c>
      <c r="C97" s="454"/>
      <c r="D97" s="454"/>
      <c r="E97" s="454"/>
      <c r="F97" s="454"/>
      <c r="G97" s="454"/>
      <c r="H97" s="454"/>
      <c r="I97" s="454"/>
      <c r="J97" s="454"/>
      <c r="K97" s="96">
        <f>Uniformes!E32</f>
        <v>117.35999999999999</v>
      </c>
      <c r="L97" s="117"/>
      <c r="M97" s="117"/>
      <c r="N97" s="117"/>
      <c r="O97" s="117"/>
      <c r="P97" s="117"/>
      <c r="Q97" s="117"/>
      <c r="R97" s="117"/>
      <c r="S97" s="117"/>
      <c r="T97" s="117"/>
    </row>
    <row r="98" spans="1:20" ht="15" thickBot="1" x14ac:dyDescent="0.4">
      <c r="A98" s="37" t="s">
        <v>60</v>
      </c>
      <c r="B98" s="505" t="s">
        <v>155</v>
      </c>
      <c r="C98" s="506"/>
      <c r="D98" s="506"/>
      <c r="E98" s="507"/>
      <c r="F98" s="492"/>
      <c r="G98" s="492"/>
      <c r="H98" s="492"/>
      <c r="I98" s="492"/>
      <c r="J98" s="86">
        <f>'Dados do Licitante'!G82</f>
        <v>2.47E-2</v>
      </c>
      <c r="K98" s="96">
        <f>J98*(K20+K106+K107+K108)</f>
        <v>130.61766789239999</v>
      </c>
      <c r="L98" s="99"/>
      <c r="M98" s="99"/>
      <c r="N98" s="99"/>
      <c r="O98" s="99"/>
      <c r="P98" s="99"/>
      <c r="Q98" s="99"/>
      <c r="R98" s="99"/>
      <c r="S98" s="99"/>
      <c r="T98" s="99"/>
    </row>
    <row r="99" spans="1:20" ht="49.5" customHeight="1" thickBot="1" x14ac:dyDescent="0.4">
      <c r="A99" s="450" t="s">
        <v>64</v>
      </c>
      <c r="B99" s="508" t="s">
        <v>156</v>
      </c>
      <c r="C99" s="508"/>
      <c r="D99" s="522" t="s">
        <v>247</v>
      </c>
      <c r="E99" s="523"/>
      <c r="F99" s="523"/>
      <c r="G99" s="523"/>
      <c r="H99" s="523"/>
      <c r="I99" s="523"/>
      <c r="J99" s="523"/>
      <c r="K99" s="189">
        <v>276.68</v>
      </c>
      <c r="L99" s="519" t="s">
        <v>248</v>
      </c>
      <c r="M99" s="520"/>
      <c r="N99" s="521"/>
      <c r="O99" s="99"/>
      <c r="P99" s="99"/>
      <c r="Q99" s="99"/>
      <c r="R99" s="99"/>
      <c r="S99" s="99"/>
      <c r="T99" s="99"/>
    </row>
    <row r="100" spans="1:20" ht="33" customHeight="1" x14ac:dyDescent="0.35">
      <c r="A100" s="450"/>
      <c r="B100" s="508"/>
      <c r="C100" s="508"/>
      <c r="D100" s="509" t="s">
        <v>157</v>
      </c>
      <c r="E100" s="509"/>
      <c r="F100" s="509"/>
      <c r="G100" s="509"/>
      <c r="H100" s="509"/>
      <c r="I100" s="509"/>
      <c r="J100" s="509"/>
      <c r="K100" s="96"/>
      <c r="L100" s="99"/>
      <c r="M100" s="114"/>
      <c r="N100" s="114"/>
      <c r="O100" s="114"/>
      <c r="P100" s="114"/>
      <c r="Q100" s="114"/>
      <c r="R100" s="114"/>
      <c r="S100" s="114"/>
      <c r="T100" s="114"/>
    </row>
    <row r="101" spans="1:20" x14ac:dyDescent="0.35">
      <c r="A101" s="464" t="s">
        <v>158</v>
      </c>
      <c r="B101" s="464"/>
      <c r="C101" s="464"/>
      <c r="D101" s="464"/>
      <c r="E101" s="464"/>
      <c r="F101" s="464"/>
      <c r="G101" s="464"/>
      <c r="H101" s="464"/>
      <c r="I101" s="464"/>
      <c r="J101" s="464"/>
      <c r="K101" s="97">
        <f t="shared" ref="K101" si="2">SUM(K97:K100)</f>
        <v>524.65766789240001</v>
      </c>
      <c r="L101" s="99"/>
      <c r="M101" s="114"/>
      <c r="N101" s="114"/>
      <c r="O101" s="114"/>
      <c r="P101" s="114"/>
      <c r="Q101" s="114"/>
      <c r="R101" s="114"/>
      <c r="S101" s="114"/>
      <c r="T101" s="114"/>
    </row>
    <row r="102" spans="1:20" x14ac:dyDescent="0.35">
      <c r="A102" s="504"/>
      <c r="B102" s="504"/>
      <c r="C102" s="504"/>
      <c r="D102" s="504"/>
      <c r="E102" s="504"/>
      <c r="F102" s="504"/>
      <c r="G102" s="504"/>
      <c r="H102" s="504"/>
      <c r="I102" s="504"/>
      <c r="J102" s="504"/>
      <c r="K102" s="504"/>
      <c r="L102" s="101"/>
      <c r="M102" s="101"/>
      <c r="N102" s="101"/>
      <c r="O102" s="101"/>
      <c r="P102" s="101"/>
      <c r="Q102" s="101"/>
      <c r="R102" s="101"/>
      <c r="S102" s="101"/>
      <c r="T102" s="101"/>
    </row>
    <row r="103" spans="1:20" x14ac:dyDescent="0.35">
      <c r="A103" s="510" t="s">
        <v>159</v>
      </c>
      <c r="B103" s="303"/>
      <c r="C103" s="303"/>
      <c r="D103" s="303"/>
      <c r="E103" s="303"/>
      <c r="F103" s="303"/>
      <c r="G103" s="303"/>
      <c r="H103" s="303"/>
      <c r="I103" s="303"/>
      <c r="J103" s="303"/>
      <c r="K103" s="303"/>
      <c r="M103" s="106"/>
      <c r="N103" s="106"/>
      <c r="O103" s="106"/>
      <c r="P103" s="106"/>
      <c r="Q103" s="106"/>
      <c r="R103" s="106"/>
      <c r="S103" s="106"/>
      <c r="T103" s="106"/>
    </row>
    <row r="104" spans="1:20" x14ac:dyDescent="0.35">
      <c r="A104" s="465" t="s">
        <v>160</v>
      </c>
      <c r="B104" s="465"/>
      <c r="C104" s="465"/>
      <c r="D104" s="465"/>
      <c r="E104" s="465"/>
      <c r="F104" s="465"/>
      <c r="G104" s="465"/>
      <c r="H104" s="465"/>
      <c r="I104" s="465"/>
      <c r="J104" s="465"/>
      <c r="K104" s="103"/>
      <c r="L104" s="117"/>
      <c r="M104" s="117"/>
      <c r="N104" s="117"/>
      <c r="O104" s="117"/>
      <c r="P104" s="117"/>
      <c r="Q104" s="117"/>
      <c r="R104" s="117"/>
      <c r="S104" s="117"/>
      <c r="T104" s="117"/>
    </row>
    <row r="105" spans="1:20" x14ac:dyDescent="0.35">
      <c r="A105" s="37" t="s">
        <v>57</v>
      </c>
      <c r="B105" s="452" t="s">
        <v>92</v>
      </c>
      <c r="C105" s="452"/>
      <c r="D105" s="452"/>
      <c r="E105" s="452"/>
      <c r="F105" s="452"/>
      <c r="G105" s="452"/>
      <c r="H105" s="452"/>
      <c r="I105" s="452"/>
      <c r="J105" s="452"/>
      <c r="K105" s="96">
        <f t="shared" ref="K105" si="3">K26</f>
        <v>2968.3680000000004</v>
      </c>
      <c r="L105" s="117"/>
      <c r="M105" s="117"/>
      <c r="N105" s="117"/>
      <c r="O105" s="117"/>
      <c r="P105" s="117"/>
      <c r="Q105" s="117"/>
      <c r="R105" s="117"/>
      <c r="S105" s="117"/>
      <c r="T105" s="117"/>
    </row>
    <row r="106" spans="1:20" x14ac:dyDescent="0.35">
      <c r="A106" s="37" t="s">
        <v>60</v>
      </c>
      <c r="B106" s="452" t="s">
        <v>161</v>
      </c>
      <c r="C106" s="452"/>
      <c r="D106" s="452"/>
      <c r="E106" s="452"/>
      <c r="F106" s="452"/>
      <c r="G106" s="452"/>
      <c r="H106" s="452"/>
      <c r="I106" s="452"/>
      <c r="J106" s="452"/>
      <c r="K106" s="96">
        <f t="shared" ref="K106" si="4">K62</f>
        <v>2343.6246920000003</v>
      </c>
      <c r="L106" s="99"/>
      <c r="M106" s="99"/>
      <c r="N106" s="99"/>
      <c r="O106" s="99"/>
      <c r="P106" s="99"/>
      <c r="Q106" s="99"/>
      <c r="R106" s="99"/>
      <c r="S106" s="99"/>
      <c r="T106" s="99"/>
    </row>
    <row r="107" spans="1:20" x14ac:dyDescent="0.35">
      <c r="A107" s="37" t="s">
        <v>64</v>
      </c>
      <c r="B107" s="452" t="s">
        <v>162</v>
      </c>
      <c r="C107" s="452"/>
      <c r="D107" s="452"/>
      <c r="E107" s="452"/>
      <c r="F107" s="452"/>
      <c r="G107" s="452"/>
      <c r="H107" s="452"/>
      <c r="I107" s="452"/>
      <c r="J107" s="452"/>
      <c r="K107" s="96">
        <f>K72</f>
        <v>185.05</v>
      </c>
      <c r="L107" s="99"/>
      <c r="M107" s="99"/>
      <c r="N107" s="99"/>
      <c r="O107" s="99"/>
      <c r="P107" s="99"/>
      <c r="Q107" s="99"/>
      <c r="R107" s="99"/>
      <c r="S107" s="99"/>
      <c r="T107" s="99"/>
    </row>
    <row r="108" spans="1:20" x14ac:dyDescent="0.35">
      <c r="A108" s="37" t="s">
        <v>66</v>
      </c>
      <c r="B108" s="452" t="s">
        <v>163</v>
      </c>
      <c r="C108" s="452"/>
      <c r="D108" s="452"/>
      <c r="E108" s="452"/>
      <c r="F108" s="452"/>
      <c r="G108" s="452"/>
      <c r="H108" s="452"/>
      <c r="I108" s="452"/>
      <c r="J108" s="452"/>
      <c r="K108" s="96">
        <f>K94</f>
        <v>476.12999999999994</v>
      </c>
      <c r="L108" s="99"/>
      <c r="M108" s="99"/>
      <c r="N108" s="99"/>
      <c r="O108" s="99"/>
      <c r="P108" s="99"/>
      <c r="Q108" s="99"/>
      <c r="R108" s="99"/>
      <c r="S108" s="99"/>
      <c r="T108" s="99"/>
    </row>
    <row r="109" spans="1:20" x14ac:dyDescent="0.35">
      <c r="A109" s="37" t="s">
        <v>68</v>
      </c>
      <c r="B109" s="452" t="s">
        <v>164</v>
      </c>
      <c r="C109" s="452"/>
      <c r="D109" s="452"/>
      <c r="E109" s="452"/>
      <c r="F109" s="452"/>
      <c r="G109" s="452"/>
      <c r="H109" s="452"/>
      <c r="I109" s="452"/>
      <c r="J109" s="452"/>
      <c r="K109" s="96">
        <f>K101</f>
        <v>524.65766789240001</v>
      </c>
      <c r="L109" s="99"/>
      <c r="M109" s="99"/>
      <c r="N109" s="99"/>
      <c r="O109" s="99"/>
      <c r="P109" s="99"/>
      <c r="Q109" s="99"/>
      <c r="R109" s="99"/>
      <c r="S109" s="99"/>
      <c r="T109" s="99"/>
    </row>
    <row r="110" spans="1:20" x14ac:dyDescent="0.35">
      <c r="A110" s="517" t="s">
        <v>165</v>
      </c>
      <c r="B110" s="517"/>
      <c r="C110" s="517"/>
      <c r="D110" s="517"/>
      <c r="E110" s="517"/>
      <c r="F110" s="517"/>
      <c r="G110" s="517"/>
      <c r="H110" s="517"/>
      <c r="I110" s="517"/>
      <c r="J110" s="517"/>
      <c r="K110" s="97">
        <f>SUM(K105:K109)</f>
        <v>6497.8303598924012</v>
      </c>
      <c r="L110" s="99"/>
      <c r="M110" s="99"/>
      <c r="N110" s="99"/>
      <c r="O110" s="99"/>
      <c r="P110" s="99"/>
      <c r="Q110" s="99"/>
      <c r="R110" s="99"/>
      <c r="S110" s="99"/>
      <c r="T110" s="99"/>
    </row>
    <row r="111" spans="1:20" x14ac:dyDescent="0.35">
      <c r="A111" s="478"/>
      <c r="B111" s="478"/>
      <c r="C111" s="478"/>
      <c r="D111" s="478"/>
      <c r="E111" s="478"/>
      <c r="F111" s="478"/>
      <c r="G111" s="478"/>
      <c r="H111" s="478"/>
      <c r="I111" s="478"/>
      <c r="J111" s="478"/>
      <c r="K111" s="478"/>
      <c r="L111" s="101"/>
      <c r="M111" s="101"/>
      <c r="N111" s="101"/>
      <c r="O111" s="101"/>
      <c r="P111" s="101"/>
      <c r="Q111" s="101"/>
      <c r="R111" s="101"/>
      <c r="S111" s="101"/>
      <c r="T111" s="101"/>
    </row>
    <row r="112" spans="1:20" x14ac:dyDescent="0.35">
      <c r="A112" s="465" t="s">
        <v>166</v>
      </c>
      <c r="B112" s="465"/>
      <c r="C112" s="465"/>
      <c r="D112" s="465"/>
      <c r="E112" s="465"/>
      <c r="F112" s="465"/>
      <c r="G112" s="465"/>
      <c r="H112" s="465"/>
      <c r="I112" s="465"/>
      <c r="J112" s="465"/>
      <c r="K112" s="103"/>
      <c r="M112" s="106"/>
      <c r="N112" s="106"/>
      <c r="O112" s="106"/>
      <c r="P112" s="106"/>
      <c r="Q112" s="106"/>
      <c r="R112" s="106"/>
      <c r="S112" s="106"/>
      <c r="T112" s="106"/>
    </row>
    <row r="113" spans="1:20" x14ac:dyDescent="0.35">
      <c r="A113" s="37" t="s">
        <v>57</v>
      </c>
      <c r="B113" s="452" t="s">
        <v>167</v>
      </c>
      <c r="C113" s="452"/>
      <c r="D113" s="452"/>
      <c r="E113" s="452"/>
      <c r="F113" s="452"/>
      <c r="G113" s="452"/>
      <c r="H113" s="452"/>
      <c r="I113" s="452"/>
      <c r="J113" s="73">
        <f>'Dados do Licitante'!F23</f>
        <v>0.11749999999999999</v>
      </c>
      <c r="K113" s="96">
        <f>TRUNC(K$110*$J113,2)</f>
        <v>763.49</v>
      </c>
      <c r="L113" s="117"/>
      <c r="M113" s="117"/>
      <c r="N113" s="117"/>
      <c r="O113" s="117"/>
      <c r="P113" s="117"/>
      <c r="Q113" s="117"/>
      <c r="R113" s="117"/>
      <c r="S113" s="117"/>
      <c r="T113" s="117"/>
    </row>
    <row r="114" spans="1:20" x14ac:dyDescent="0.35">
      <c r="A114" s="37" t="s">
        <v>60</v>
      </c>
      <c r="B114" s="452" t="s">
        <v>168</v>
      </c>
      <c r="C114" s="452"/>
      <c r="D114" s="452"/>
      <c r="E114" s="452"/>
      <c r="F114" s="452"/>
      <c r="G114" s="452"/>
      <c r="H114" s="452"/>
      <c r="I114" s="452"/>
      <c r="J114" s="73">
        <f>'Dados do Licitante'!F24</f>
        <v>0.10979999999999999</v>
      </c>
      <c r="K114" s="96">
        <f>TRUNC((K110+K113)*$J114,2)</f>
        <v>797.29</v>
      </c>
      <c r="L114" s="99"/>
      <c r="M114" s="99"/>
      <c r="N114" s="99"/>
      <c r="O114" s="99"/>
      <c r="P114" s="99"/>
      <c r="Q114" s="99"/>
      <c r="R114" s="99"/>
      <c r="S114" s="99"/>
      <c r="T114" s="99"/>
    </row>
    <row r="115" spans="1:20" x14ac:dyDescent="0.35">
      <c r="A115" s="511" t="s">
        <v>64</v>
      </c>
      <c r="B115" s="513" t="s">
        <v>169</v>
      </c>
      <c r="C115" s="514"/>
      <c r="D115" s="514"/>
      <c r="E115" s="514"/>
      <c r="F115" s="514"/>
      <c r="G115" s="514"/>
      <c r="H115" s="514"/>
      <c r="I115" s="514"/>
      <c r="J115" s="87" t="s">
        <v>170</v>
      </c>
      <c r="K115" s="115">
        <f>'Dados do Licitante'!H31</f>
        <v>8.6499999999999994E-2</v>
      </c>
      <c r="L115" s="99"/>
      <c r="M115" s="99"/>
      <c r="N115" s="99"/>
      <c r="O115" s="99"/>
      <c r="P115" s="99"/>
      <c r="Q115" s="99"/>
      <c r="R115" s="99"/>
      <c r="S115" s="99"/>
      <c r="T115" s="99"/>
    </row>
    <row r="116" spans="1:20" x14ac:dyDescent="0.35">
      <c r="A116" s="512"/>
      <c r="B116" s="515"/>
      <c r="C116" s="516"/>
      <c r="D116" s="516"/>
      <c r="E116" s="516"/>
      <c r="F116" s="516"/>
      <c r="G116" s="516"/>
      <c r="H116" s="516"/>
      <c r="I116" s="516"/>
      <c r="J116" s="88" t="s">
        <v>171</v>
      </c>
      <c r="K116" s="96">
        <f>IF(K115&lt;&gt;"",K119*K115,0)</f>
        <v>763.07585783327056</v>
      </c>
      <c r="L116" s="118"/>
      <c r="M116" s="119"/>
      <c r="N116" s="119"/>
      <c r="O116" s="119"/>
      <c r="P116" s="119"/>
      <c r="Q116" s="119"/>
      <c r="R116" s="119"/>
      <c r="S116" s="119"/>
      <c r="T116" s="119"/>
    </row>
    <row r="117" spans="1:20" x14ac:dyDescent="0.35">
      <c r="A117" s="517" t="s">
        <v>172</v>
      </c>
      <c r="B117" s="517"/>
      <c r="C117" s="517"/>
      <c r="D117" s="517"/>
      <c r="E117" s="517"/>
      <c r="F117" s="517"/>
      <c r="G117" s="517"/>
      <c r="H117" s="517"/>
      <c r="I117" s="517"/>
      <c r="J117" s="517"/>
      <c r="K117" s="97">
        <f>K113+K114+K116</f>
        <v>2323.8558578332704</v>
      </c>
      <c r="L117" s="99"/>
      <c r="M117" s="99"/>
      <c r="N117" s="99"/>
      <c r="O117" s="99"/>
      <c r="P117" s="99"/>
      <c r="Q117" s="99"/>
      <c r="R117" s="99"/>
      <c r="S117" s="99"/>
      <c r="T117" s="99"/>
    </row>
    <row r="118" spans="1:20" x14ac:dyDescent="0.35">
      <c r="A118" s="62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101"/>
      <c r="M118" s="101"/>
      <c r="N118" s="101"/>
      <c r="O118" s="101"/>
      <c r="P118" s="101"/>
      <c r="Q118" s="101"/>
      <c r="R118" s="101"/>
      <c r="S118" s="101"/>
      <c r="T118" s="101"/>
    </row>
    <row r="119" spans="1:20" x14ac:dyDescent="0.35">
      <c r="A119" s="518" t="s">
        <v>173</v>
      </c>
      <c r="B119" s="518"/>
      <c r="C119" s="518"/>
      <c r="D119" s="518"/>
      <c r="E119" s="518"/>
      <c r="F119" s="518"/>
      <c r="G119" s="518"/>
      <c r="H119" s="518"/>
      <c r="I119" s="518"/>
      <c r="J119" s="518"/>
      <c r="K119" s="116">
        <f>IF(K115&lt;&gt;"",(K110+K113+K114)/(1-K115),0)</f>
        <v>8821.6862177256717</v>
      </c>
      <c r="L119" s="93"/>
      <c r="M119" s="106"/>
      <c r="N119" s="106"/>
      <c r="O119" s="106"/>
      <c r="P119" s="106"/>
      <c r="Q119" s="106"/>
      <c r="R119" s="106"/>
      <c r="S119" s="106"/>
      <c r="T119" s="106"/>
    </row>
    <row r="120" spans="1:20" x14ac:dyDescent="0.35">
      <c r="A120" s="124"/>
      <c r="B120" s="124"/>
      <c r="C120" s="124"/>
      <c r="D120" s="124"/>
      <c r="E120" s="124"/>
      <c r="F120" s="124"/>
      <c r="G120" s="124"/>
      <c r="H120" s="124"/>
      <c r="I120" s="124"/>
      <c r="J120" s="124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</row>
  </sheetData>
  <mergeCells count="133">
    <mergeCell ref="A119:J119"/>
    <mergeCell ref="A103:K103"/>
    <mergeCell ref="B106:J106"/>
    <mergeCell ref="B107:J107"/>
    <mergeCell ref="D100:J100"/>
    <mergeCell ref="A96:J96"/>
    <mergeCell ref="B97:J97"/>
    <mergeCell ref="B98:E98"/>
    <mergeCell ref="F98:I98"/>
    <mergeCell ref="A99:A100"/>
    <mergeCell ref="B99:C100"/>
    <mergeCell ref="D99:J99"/>
    <mergeCell ref="A101:J101"/>
    <mergeCell ref="A102:K102"/>
    <mergeCell ref="A104:J104"/>
    <mergeCell ref="B105:J105"/>
    <mergeCell ref="A110:J110"/>
    <mergeCell ref="A111:K111"/>
    <mergeCell ref="A112:J112"/>
    <mergeCell ref="B113:I113"/>
    <mergeCell ref="A115:A116"/>
    <mergeCell ref="B115:I116"/>
    <mergeCell ref="A117:J117"/>
    <mergeCell ref="B114:I114"/>
    <mergeCell ref="B109:J109"/>
    <mergeCell ref="A76:J76"/>
    <mergeCell ref="B77:I77"/>
    <mergeCell ref="B93:I93"/>
    <mergeCell ref="B84:I84"/>
    <mergeCell ref="A85:I85"/>
    <mergeCell ref="A86:K86"/>
    <mergeCell ref="A87:J87"/>
    <mergeCell ref="B88:I88"/>
    <mergeCell ref="A89:I89"/>
    <mergeCell ref="A90:K90"/>
    <mergeCell ref="A91:J91"/>
    <mergeCell ref="B92:I92"/>
    <mergeCell ref="A94:I94"/>
    <mergeCell ref="A95:K95"/>
    <mergeCell ref="A78:J78"/>
    <mergeCell ref="B79:I79"/>
    <mergeCell ref="B80:I80"/>
    <mergeCell ref="B81:I81"/>
    <mergeCell ref="B82:I82"/>
    <mergeCell ref="B83:I83"/>
    <mergeCell ref="B108:J108"/>
    <mergeCell ref="B69:I69"/>
    <mergeCell ref="A70:J70"/>
    <mergeCell ref="B71:I71"/>
    <mergeCell ref="A72:I72"/>
    <mergeCell ref="A73:K73"/>
    <mergeCell ref="A74:J74"/>
    <mergeCell ref="K74:K75"/>
    <mergeCell ref="A65:J65"/>
    <mergeCell ref="B66:C66"/>
    <mergeCell ref="F66:G66"/>
    <mergeCell ref="H66:I66"/>
    <mergeCell ref="B67:I67"/>
    <mergeCell ref="B68:E68"/>
    <mergeCell ref="F68:G68"/>
    <mergeCell ref="H68:I68"/>
    <mergeCell ref="A75:J75"/>
    <mergeCell ref="B59:I59"/>
    <mergeCell ref="B60:I60"/>
    <mergeCell ref="B61:J61"/>
    <mergeCell ref="B62:J62"/>
    <mergeCell ref="A63:K63"/>
    <mergeCell ref="A64:J64"/>
    <mergeCell ref="B53:J53"/>
    <mergeCell ref="B54:J54"/>
    <mergeCell ref="B55:J55"/>
    <mergeCell ref="B56:J56"/>
    <mergeCell ref="A57:K57"/>
    <mergeCell ref="A58:J58"/>
    <mergeCell ref="B47:J47"/>
    <mergeCell ref="B48:J48"/>
    <mergeCell ref="B49:J49"/>
    <mergeCell ref="B50:J50"/>
    <mergeCell ref="B51:J51"/>
    <mergeCell ref="B52:J52"/>
    <mergeCell ref="B42:I42"/>
    <mergeCell ref="B43:E43"/>
    <mergeCell ref="H43:I43"/>
    <mergeCell ref="C44:I44"/>
    <mergeCell ref="A46:J46"/>
    <mergeCell ref="A36:I36"/>
    <mergeCell ref="B37:I37"/>
    <mergeCell ref="B38:I38"/>
    <mergeCell ref="B39:I39"/>
    <mergeCell ref="B40:I40"/>
    <mergeCell ref="B41:I41"/>
    <mergeCell ref="B30:I30"/>
    <mergeCell ref="B31:I31"/>
    <mergeCell ref="B32:I32"/>
    <mergeCell ref="A33:K33"/>
    <mergeCell ref="A34:J34"/>
    <mergeCell ref="A35:J35"/>
    <mergeCell ref="K28:K29"/>
    <mergeCell ref="B22:J22"/>
    <mergeCell ref="B23:J23"/>
    <mergeCell ref="B24:J24"/>
    <mergeCell ref="B25:J25"/>
    <mergeCell ref="A26:J26"/>
    <mergeCell ref="B17:J17"/>
    <mergeCell ref="A19:J19"/>
    <mergeCell ref="B20:J20"/>
    <mergeCell ref="B21:D21"/>
    <mergeCell ref="E21:G21"/>
    <mergeCell ref="H21:I21"/>
    <mergeCell ref="L99:N99"/>
    <mergeCell ref="A1:K1"/>
    <mergeCell ref="A2:C2"/>
    <mergeCell ref="D2:K2"/>
    <mergeCell ref="A3:C3"/>
    <mergeCell ref="D3:K3"/>
    <mergeCell ref="A4:C4"/>
    <mergeCell ref="D4:F4"/>
    <mergeCell ref="H4:K4"/>
    <mergeCell ref="B9:J9"/>
    <mergeCell ref="B11:J11"/>
    <mergeCell ref="A13:K13"/>
    <mergeCell ref="B14:J14"/>
    <mergeCell ref="B15:J15"/>
    <mergeCell ref="B16:J16"/>
    <mergeCell ref="A5:K5"/>
    <mergeCell ref="A6:C6"/>
    <mergeCell ref="D6:K6"/>
    <mergeCell ref="A7:K7"/>
    <mergeCell ref="B8:D8"/>
    <mergeCell ref="E8:K8"/>
    <mergeCell ref="A12:K12"/>
    <mergeCell ref="A29:J29"/>
    <mergeCell ref="A28:J28"/>
  </mergeCells>
  <conditionalFormatting sqref="J98">
    <cfRule type="expression" dxfId="1" priority="2">
      <formula>$J$98=""</formula>
    </cfRule>
  </conditionalFormatting>
  <conditionalFormatting sqref="F98:I98">
    <cfRule type="expression" dxfId="0" priority="1">
      <formula>$F$98=""</formula>
    </cfRule>
  </conditionalFormatting>
  <pageMargins left="0.511811024" right="0.511811024" top="0.78740157499999996" bottom="0.78740157499999996" header="0.31496062000000002" footer="0.31496062000000002"/>
  <pageSetup paperSize="9" scale="72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54" r:id="rId4" name="Option Button 10">
              <controlPr defaultSize="0" autoFill="0" autoLine="0" autoPict="0">
                <anchor moveWithCells="1">
                  <from>
                    <xdr:col>9</xdr:col>
                    <xdr:colOff>12700</xdr:colOff>
                    <xdr:row>20</xdr:row>
                    <xdr:rowOff>0</xdr:rowOff>
                  </from>
                  <to>
                    <xdr:col>9</xdr:col>
                    <xdr:colOff>279400</xdr:colOff>
                    <xdr:row>20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5" name="Option Button 11">
              <controlPr defaultSize="0" autoFill="0" autoLine="0" autoPict="0">
                <anchor moveWithCells="1">
                  <from>
                    <xdr:col>9</xdr:col>
                    <xdr:colOff>0</xdr:colOff>
                    <xdr:row>20</xdr:row>
                    <xdr:rowOff>76200</xdr:rowOff>
                  </from>
                  <to>
                    <xdr:col>9</xdr:col>
                    <xdr:colOff>520700</xdr:colOff>
                    <xdr:row>21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0BE52-6610-43A5-A1BF-880EB30F3BDB}">
  <sheetPr>
    <pageSetUpPr fitToPage="1"/>
  </sheetPr>
  <dimension ref="A1:G21"/>
  <sheetViews>
    <sheetView topLeftCell="A8" workbookViewId="0">
      <selection activeCell="F23" sqref="F23"/>
    </sheetView>
  </sheetViews>
  <sheetFormatPr defaultRowHeight="14.5" x14ac:dyDescent="0.35"/>
  <cols>
    <col min="1" max="1" width="31" customWidth="1"/>
    <col min="2" max="2" width="12.453125" bestFit="1" customWidth="1"/>
    <col min="3" max="3" width="12.36328125" bestFit="1" customWidth="1"/>
    <col min="4" max="4" width="21.54296875" customWidth="1"/>
    <col min="5" max="5" width="13.90625" customWidth="1"/>
    <col min="6" max="6" width="20.90625" customWidth="1"/>
    <col min="7" max="7" width="12.36328125" bestFit="1" customWidth="1"/>
  </cols>
  <sheetData>
    <row r="1" spans="1:7" x14ac:dyDescent="0.35">
      <c r="A1" s="169" t="s">
        <v>226</v>
      </c>
      <c r="B1" s="169" t="s">
        <v>231</v>
      </c>
      <c r="C1" s="186" t="s">
        <v>233</v>
      </c>
      <c r="D1" s="524" t="s">
        <v>245</v>
      </c>
      <c r="E1" s="525"/>
    </row>
    <row r="2" spans="1:7" x14ac:dyDescent="0.35">
      <c r="A2" s="170" t="s">
        <v>227</v>
      </c>
      <c r="B2" s="172">
        <f>'Oficial de Manutenção predial'!K119</f>
        <v>6805.2122615133012</v>
      </c>
      <c r="C2" s="187">
        <f>B2*20</f>
        <v>136104.24523026601</v>
      </c>
      <c r="D2" s="526"/>
      <c r="E2" s="527"/>
    </row>
    <row r="3" spans="1:7" x14ac:dyDescent="0.35">
      <c r="A3" s="170" t="s">
        <v>228</v>
      </c>
      <c r="B3" s="172">
        <f>'Técnico ar-condicionado'!K119</f>
        <v>6805.2122615133012</v>
      </c>
      <c r="C3" s="187">
        <f t="shared" ref="C3:C6" si="0">B3*20</f>
        <v>136104.24523026601</v>
      </c>
      <c r="D3" s="526"/>
      <c r="E3" s="527"/>
    </row>
    <row r="4" spans="1:7" x14ac:dyDescent="0.35">
      <c r="A4" s="170" t="s">
        <v>229</v>
      </c>
      <c r="B4" s="172">
        <f>'instalador Hidráulico'!K119</f>
        <v>6805.2122615133012</v>
      </c>
      <c r="C4" s="187">
        <f t="shared" si="0"/>
        <v>136104.24523026601</v>
      </c>
      <c r="D4" s="526"/>
      <c r="E4" s="527"/>
    </row>
    <row r="5" spans="1:7" x14ac:dyDescent="0.35">
      <c r="A5" s="170" t="s">
        <v>230</v>
      </c>
      <c r="B5" s="172">
        <f>Eletricista!K119</f>
        <v>8821.6862177256717</v>
      </c>
      <c r="C5" s="187">
        <f t="shared" si="0"/>
        <v>176433.72435451343</v>
      </c>
      <c r="D5" s="526"/>
      <c r="E5" s="527"/>
    </row>
    <row r="6" spans="1:7" ht="15" thickBot="1" x14ac:dyDescent="0.4">
      <c r="A6" s="180" t="s">
        <v>232</v>
      </c>
      <c r="B6" s="181">
        <f>SUM(B2:B5)</f>
        <v>29237.323002265577</v>
      </c>
      <c r="C6" s="188">
        <f t="shared" si="0"/>
        <v>584746.4600453116</v>
      </c>
      <c r="D6" s="528"/>
      <c r="E6" s="529"/>
    </row>
    <row r="8" spans="1:7" x14ac:dyDescent="0.35">
      <c r="A8" s="173" t="s">
        <v>235</v>
      </c>
      <c r="B8" s="173" t="s">
        <v>233</v>
      </c>
      <c r="D8" s="169" t="s">
        <v>236</v>
      </c>
      <c r="E8" s="169" t="s">
        <v>238</v>
      </c>
    </row>
    <row r="9" spans="1:7" x14ac:dyDescent="0.35">
      <c r="A9" s="174" t="s">
        <v>268</v>
      </c>
      <c r="B9" s="175">
        <f>C6*0.2</f>
        <v>116949.29200906232</v>
      </c>
      <c r="D9" s="170" t="s">
        <v>226</v>
      </c>
      <c r="E9" s="172">
        <f>C6</f>
        <v>584746.4600453116</v>
      </c>
    </row>
    <row r="10" spans="1:7" x14ac:dyDescent="0.35">
      <c r="A10" s="176" t="s">
        <v>234</v>
      </c>
      <c r="B10" s="177">
        <v>0.01</v>
      </c>
      <c r="C10" t="s">
        <v>241</v>
      </c>
      <c r="D10" s="170" t="s">
        <v>235</v>
      </c>
      <c r="E10" s="172">
        <f>B16</f>
        <v>116949.29200906231</v>
      </c>
    </row>
    <row r="11" spans="1:7" x14ac:dyDescent="0.35">
      <c r="A11" s="178" t="s">
        <v>289</v>
      </c>
      <c r="B11" s="179">
        <f>'Dados do Licitante'!F102</f>
        <v>0.23904614758620713</v>
      </c>
      <c r="D11" s="182" t="s">
        <v>237</v>
      </c>
      <c r="E11" s="183">
        <f>SUM(E9,E10)</f>
        <v>701695.75205437397</v>
      </c>
      <c r="F11" s="185" t="s">
        <v>243</v>
      </c>
    </row>
    <row r="12" spans="1:7" x14ac:dyDescent="0.35">
      <c r="A12" s="170" t="s">
        <v>288</v>
      </c>
      <c r="B12" s="179">
        <f>B11-B10</f>
        <v>0.22904614758620712</v>
      </c>
      <c r="D12" t="s">
        <v>242</v>
      </c>
    </row>
    <row r="13" spans="1:7" x14ac:dyDescent="0.35">
      <c r="A13" s="178" t="s">
        <v>287</v>
      </c>
      <c r="B13" s="172">
        <f>(B12*B9)/(1+B12)</f>
        <v>21794.775444533305</v>
      </c>
      <c r="D13" s="168" t="s">
        <v>239</v>
      </c>
      <c r="E13" s="184">
        <f>(E11/20)*12</f>
        <v>421017.45123262441</v>
      </c>
    </row>
    <row r="14" spans="1:7" ht="14.5" customHeight="1" x14ac:dyDescent="0.35">
      <c r="A14" s="530" t="s">
        <v>291</v>
      </c>
      <c r="B14" s="532">
        <f>B9-B13</f>
        <v>95154.516564529011</v>
      </c>
      <c r="D14" t="s">
        <v>242</v>
      </c>
    </row>
    <row r="15" spans="1:7" x14ac:dyDescent="0.35">
      <c r="A15" s="531"/>
      <c r="B15" s="533"/>
      <c r="D15" s="168" t="s">
        <v>240</v>
      </c>
      <c r="E15" s="184">
        <f>E11/20</f>
        <v>35084.787602718701</v>
      </c>
      <c r="G15" s="171"/>
    </row>
    <row r="16" spans="1:7" ht="15" thickBot="1" x14ac:dyDescent="0.4">
      <c r="A16" s="180" t="s">
        <v>290</v>
      </c>
      <c r="B16" s="181">
        <f>B14+B13</f>
        <v>116949.29200906231</v>
      </c>
    </row>
    <row r="17" spans="1:7" ht="14.5" customHeight="1" x14ac:dyDescent="0.35">
      <c r="A17" t="s">
        <v>242</v>
      </c>
      <c r="D17" s="195" t="s">
        <v>246</v>
      </c>
      <c r="E17" s="198">
        <f>E11</f>
        <v>701695.75205437397</v>
      </c>
    </row>
    <row r="18" spans="1:7" ht="14.5" customHeight="1" x14ac:dyDescent="0.35">
      <c r="A18" s="192" t="s">
        <v>292</v>
      </c>
      <c r="B18" s="193">
        <f>B14/20</f>
        <v>4757.7258282264502</v>
      </c>
      <c r="D18" s="196"/>
      <c r="E18" s="199"/>
    </row>
    <row r="19" spans="1:7" ht="15" customHeight="1" thickBot="1" x14ac:dyDescent="0.4">
      <c r="A19" s="192"/>
      <c r="B19" s="194"/>
      <c r="D19" s="197"/>
      <c r="E19" s="200"/>
    </row>
    <row r="20" spans="1:7" ht="14.5" customHeight="1" x14ac:dyDescent="0.35">
      <c r="A20" s="192" t="s">
        <v>244</v>
      </c>
      <c r="B20" s="193">
        <f>B18*12</f>
        <v>57092.709938717402</v>
      </c>
    </row>
    <row r="21" spans="1:7" x14ac:dyDescent="0.35">
      <c r="A21" s="192"/>
      <c r="B21" s="194"/>
      <c r="G21" s="171"/>
    </row>
  </sheetData>
  <mergeCells count="3">
    <mergeCell ref="D1:E6"/>
    <mergeCell ref="A14:A15"/>
    <mergeCell ref="B14:B15"/>
  </mergeCells>
  <pageMargins left="0.511811024" right="0.511811024" top="0.78740157499999996" bottom="0.78740157499999996" header="0.31496062000000002" footer="0.31496062000000002"/>
  <pageSetup paperSize="9" scale="82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4FD60-A01F-4996-B77A-15CD429E4284}">
  <sheetPr>
    <pageSetUpPr fitToPage="1"/>
  </sheetPr>
  <dimension ref="A1:I39"/>
  <sheetViews>
    <sheetView workbookViewId="0">
      <selection activeCell="I22" sqref="I22"/>
    </sheetView>
  </sheetViews>
  <sheetFormatPr defaultRowHeight="14.5" x14ac:dyDescent="0.35"/>
  <cols>
    <col min="1" max="1" width="43.54296875" customWidth="1"/>
    <col min="2" max="2" width="35.08984375" customWidth="1"/>
    <col min="3" max="3" width="14.36328125" customWidth="1"/>
    <col min="4" max="4" width="10.453125" customWidth="1"/>
    <col min="5" max="5" width="16.1796875" customWidth="1"/>
    <col min="6" max="6" width="11" customWidth="1"/>
    <col min="7" max="7" width="10.7265625" bestFit="1" customWidth="1"/>
  </cols>
  <sheetData>
    <row r="1" spans="1:7" ht="16" thickBot="1" x14ac:dyDescent="0.4">
      <c r="A1" s="539" t="s">
        <v>321</v>
      </c>
      <c r="B1" s="540"/>
      <c r="C1" s="540"/>
      <c r="D1" s="540"/>
      <c r="E1" s="540"/>
      <c r="F1" s="541"/>
    </row>
    <row r="2" spans="1:7" ht="61" customHeight="1" thickBot="1" x14ac:dyDescent="0.4">
      <c r="A2" s="249" t="s">
        <v>249</v>
      </c>
      <c r="B2" s="250" t="s">
        <v>250</v>
      </c>
      <c r="C2" s="250" t="s">
        <v>251</v>
      </c>
      <c r="D2" s="250" t="s">
        <v>253</v>
      </c>
      <c r="E2" s="212" t="s">
        <v>316</v>
      </c>
      <c r="F2" s="268" t="s">
        <v>342</v>
      </c>
      <c r="G2" s="271" t="s">
        <v>345</v>
      </c>
    </row>
    <row r="3" spans="1:7" ht="45" customHeight="1" x14ac:dyDescent="0.35">
      <c r="A3" s="220" t="s">
        <v>295</v>
      </c>
      <c r="B3" s="217" t="s">
        <v>296</v>
      </c>
      <c r="C3" s="220" t="s">
        <v>297</v>
      </c>
      <c r="D3" s="170">
        <f>F3/20</f>
        <v>57.356500000000004</v>
      </c>
      <c r="E3" s="170">
        <f>D3*12</f>
        <v>688.27800000000002</v>
      </c>
      <c r="F3" s="261">
        <v>1147.1300000000001</v>
      </c>
      <c r="G3" s="170">
        <f>F3*(1+$F$16)</f>
        <v>1394.3894522805658</v>
      </c>
    </row>
    <row r="4" spans="1:7" ht="43" customHeight="1" x14ac:dyDescent="0.35">
      <c r="A4" s="220" t="s">
        <v>298</v>
      </c>
      <c r="B4" s="217" t="s">
        <v>308</v>
      </c>
      <c r="C4" s="221" t="s">
        <v>175</v>
      </c>
      <c r="D4" s="170">
        <f>E4/12</f>
        <v>766.66666666666663</v>
      </c>
      <c r="E4" s="213">
        <v>9200</v>
      </c>
      <c r="F4" s="170">
        <f>D4*20</f>
        <v>15333.333333333332</v>
      </c>
      <c r="G4" s="170">
        <f>F4*(1+$F$16)</f>
        <v>18638.374262988506</v>
      </c>
    </row>
    <row r="5" spans="1:7" ht="70.5" customHeight="1" x14ac:dyDescent="0.35">
      <c r="A5" s="220" t="s">
        <v>314</v>
      </c>
      <c r="B5" s="217" t="s">
        <v>315</v>
      </c>
      <c r="C5" s="221" t="s">
        <v>175</v>
      </c>
      <c r="D5" s="170">
        <f>F5/20</f>
        <v>3475.6800000000003</v>
      </c>
      <c r="E5" s="170">
        <f>D5*12</f>
        <v>41708.160000000003</v>
      </c>
      <c r="F5" s="213">
        <v>69513.600000000006</v>
      </c>
      <c r="G5" s="170">
        <f>F5*(1+$F$16)</f>
        <v>84496.988684848562</v>
      </c>
    </row>
    <row r="6" spans="1:7" ht="102" customHeight="1" x14ac:dyDescent="0.35">
      <c r="A6" s="220" t="s">
        <v>299</v>
      </c>
      <c r="B6" s="218" t="s">
        <v>300</v>
      </c>
      <c r="C6" s="220" t="s">
        <v>175</v>
      </c>
      <c r="D6" s="170">
        <f>E6/12</f>
        <v>350.86500000000001</v>
      </c>
      <c r="E6" s="213">
        <v>4210.38</v>
      </c>
      <c r="F6" s="170">
        <f>D6*20</f>
        <v>7017.3</v>
      </c>
      <c r="G6" s="170">
        <f>F6*(1+$F$16)</f>
        <v>8529.8519814566916</v>
      </c>
    </row>
    <row r="7" spans="1:7" ht="99.5" customHeight="1" x14ac:dyDescent="0.35">
      <c r="A7" s="232" t="s">
        <v>301</v>
      </c>
      <c r="B7" s="217" t="s">
        <v>317</v>
      </c>
      <c r="C7" s="220" t="s">
        <v>175</v>
      </c>
      <c r="D7" s="170">
        <f>E7/12</f>
        <v>820</v>
      </c>
      <c r="E7" s="213">
        <v>9840</v>
      </c>
      <c r="F7" s="170">
        <f>D7*20</f>
        <v>16400</v>
      </c>
      <c r="G7" s="170">
        <f>F7*(1+$F$16)</f>
        <v>19934.956820413794</v>
      </c>
    </row>
    <row r="8" spans="1:7" ht="44" customHeight="1" x14ac:dyDescent="0.35">
      <c r="A8" s="220" t="s">
        <v>303</v>
      </c>
      <c r="B8" s="217" t="s">
        <v>302</v>
      </c>
      <c r="C8" s="220" t="s">
        <v>175</v>
      </c>
      <c r="D8" s="170">
        <f>E8/12</f>
        <v>308.66666666666669</v>
      </c>
      <c r="E8" s="213">
        <v>3704</v>
      </c>
      <c r="F8" s="170">
        <f>D8*20</f>
        <v>6173.3333333333339</v>
      </c>
      <c r="G8" s="170">
        <f t="shared" ref="G8:G10" si="0">F8*(1+$F$16)</f>
        <v>7503.9715510988526</v>
      </c>
    </row>
    <row r="9" spans="1:7" ht="43.5" x14ac:dyDescent="0.35">
      <c r="A9" s="220" t="s">
        <v>304</v>
      </c>
      <c r="B9" s="217" t="s">
        <v>305</v>
      </c>
      <c r="C9" s="220" t="s">
        <v>175</v>
      </c>
      <c r="D9" s="170">
        <f>E9/12</f>
        <v>727</v>
      </c>
      <c r="E9" s="213">
        <v>8724</v>
      </c>
      <c r="F9" s="170">
        <f>D9*20</f>
        <v>14540</v>
      </c>
      <c r="G9" s="170">
        <f t="shared" si="0"/>
        <v>17674.040985903452</v>
      </c>
    </row>
    <row r="10" spans="1:7" ht="43.5" x14ac:dyDescent="0.35">
      <c r="A10" s="220" t="s">
        <v>306</v>
      </c>
      <c r="B10" s="217" t="s">
        <v>307</v>
      </c>
      <c r="C10" s="220" t="s">
        <v>175</v>
      </c>
      <c r="D10" s="219">
        <f>E10/12</f>
        <v>1160</v>
      </c>
      <c r="E10" s="213">
        <f>1160*12</f>
        <v>13920</v>
      </c>
      <c r="F10" s="170">
        <f>D10*20</f>
        <v>23200</v>
      </c>
      <c r="G10" s="170">
        <f t="shared" si="0"/>
        <v>28200.670624000002</v>
      </c>
    </row>
    <row r="11" spans="1:7" x14ac:dyDescent="0.35">
      <c r="A11" s="163" t="s">
        <v>309</v>
      </c>
      <c r="B11" s="213"/>
      <c r="C11" s="213"/>
      <c r="D11" s="213"/>
      <c r="E11" s="213"/>
      <c r="F11" s="213"/>
    </row>
    <row r="12" spans="1:7" x14ac:dyDescent="0.35">
      <c r="A12" s="163" t="s">
        <v>309</v>
      </c>
      <c r="B12" s="213"/>
      <c r="C12" s="213"/>
      <c r="D12" s="213"/>
      <c r="E12" s="213"/>
      <c r="F12" s="213"/>
    </row>
    <row r="13" spans="1:7" x14ac:dyDescent="0.35">
      <c r="A13" s="191" t="s">
        <v>266</v>
      </c>
      <c r="F13" s="233">
        <f>SUM(F3,F4,F5,F6,F7,F8,F9,F10)</f>
        <v>153324.69666666666</v>
      </c>
    </row>
    <row r="14" spans="1:7" x14ac:dyDescent="0.35">
      <c r="A14" s="537" t="s">
        <v>318</v>
      </c>
      <c r="B14" s="538"/>
      <c r="C14" s="238"/>
      <c r="D14" s="238"/>
      <c r="E14" s="238"/>
      <c r="F14" s="179">
        <f>'Dados do Licitante'!F102</f>
        <v>0.23904614758620713</v>
      </c>
    </row>
    <row r="15" spans="1:7" ht="15" thickBot="1" x14ac:dyDescent="0.4">
      <c r="A15" s="234" t="s">
        <v>310</v>
      </c>
      <c r="B15" s="235"/>
      <c r="C15" s="235"/>
      <c r="D15" s="235"/>
      <c r="E15" s="236"/>
      <c r="F15" s="237">
        <v>2.35E-2</v>
      </c>
    </row>
    <row r="16" spans="1:7" ht="15" thickBot="1" x14ac:dyDescent="0.4">
      <c r="A16" s="226" t="s">
        <v>311</v>
      </c>
      <c r="B16" s="216"/>
      <c r="C16" s="216"/>
      <c r="D16" s="216"/>
      <c r="E16" s="216"/>
      <c r="F16" s="229">
        <f>F14-F15</f>
        <v>0.21554614758620713</v>
      </c>
    </row>
    <row r="17" spans="1:9" ht="15" thickBot="1" x14ac:dyDescent="0.4">
      <c r="A17" s="224" t="s">
        <v>312</v>
      </c>
      <c r="B17" s="225"/>
      <c r="C17" s="225"/>
      <c r="D17" s="225"/>
      <c r="E17" s="225"/>
      <c r="F17" s="227">
        <f>F13*(1+F16)</f>
        <v>186373.2443629904</v>
      </c>
      <c r="G17">
        <f>SUM(G3,G4,G5,G6,G7,G8,G9,G10)</f>
        <v>186373.24436299043</v>
      </c>
      <c r="H17" s="223"/>
    </row>
    <row r="18" spans="1:9" x14ac:dyDescent="0.35">
      <c r="A18" s="191"/>
      <c r="F18" s="223"/>
    </row>
    <row r="19" spans="1:9" ht="15" thickBot="1" x14ac:dyDescent="0.4">
      <c r="A19" s="191"/>
      <c r="F19" s="223"/>
    </row>
    <row r="20" spans="1:9" ht="15" thickBot="1" x14ac:dyDescent="0.4">
      <c r="F20" s="534" t="s">
        <v>272</v>
      </c>
      <c r="G20" s="535"/>
      <c r="H20" s="536"/>
    </row>
    <row r="21" spans="1:9" ht="51" customHeight="1" thickBot="1" x14ac:dyDescent="0.4">
      <c r="A21" s="203" t="s">
        <v>254</v>
      </c>
      <c r="B21" s="204" t="s">
        <v>269</v>
      </c>
      <c r="C21" s="203" t="s">
        <v>251</v>
      </c>
      <c r="D21" s="203" t="s">
        <v>252</v>
      </c>
      <c r="E21" s="214" t="s">
        <v>284</v>
      </c>
      <c r="F21" s="212" t="s">
        <v>285</v>
      </c>
      <c r="G21" s="269" t="s">
        <v>343</v>
      </c>
      <c r="H21" s="207" t="s">
        <v>253</v>
      </c>
      <c r="I21" s="270" t="s">
        <v>346</v>
      </c>
    </row>
    <row r="22" spans="1:9" x14ac:dyDescent="0.35">
      <c r="A22" t="s">
        <v>263</v>
      </c>
      <c r="B22" s="202">
        <v>88239</v>
      </c>
      <c r="C22" t="s">
        <v>255</v>
      </c>
      <c r="D22" s="202">
        <v>8</v>
      </c>
      <c r="E22" s="239">
        <f>D22/20</f>
        <v>0.4</v>
      </c>
      <c r="F22" s="240">
        <v>25.15</v>
      </c>
      <c r="G22" s="206">
        <f>F22*D22</f>
        <v>201.2</v>
      </c>
      <c r="H22" s="206">
        <f>F22*E22</f>
        <v>10.06</v>
      </c>
      <c r="I22">
        <f>G22*(1+$G$32)</f>
        <v>245.27208489434486</v>
      </c>
    </row>
    <row r="23" spans="1:9" x14ac:dyDescent="0.35">
      <c r="A23" t="s">
        <v>230</v>
      </c>
      <c r="B23" s="202">
        <v>88264</v>
      </c>
      <c r="C23" t="s">
        <v>255</v>
      </c>
      <c r="D23" s="202">
        <v>20</v>
      </c>
      <c r="E23" s="239">
        <f t="shared" ref="E23:E28" si="1">D23/20</f>
        <v>1</v>
      </c>
      <c r="F23" s="240">
        <v>33.64</v>
      </c>
      <c r="G23" s="206">
        <f t="shared" ref="G23:G28" si="2">F23*D23</f>
        <v>672.8</v>
      </c>
      <c r="H23" s="206">
        <f t="shared" ref="H23:H28" si="3">F23*E23</f>
        <v>33.64</v>
      </c>
      <c r="I23">
        <f t="shared" ref="I23:I28" si="4">G23*(1+$G$32)</f>
        <v>820.17424809600004</v>
      </c>
    </row>
    <row r="24" spans="1:9" x14ac:dyDescent="0.35">
      <c r="A24" t="s">
        <v>264</v>
      </c>
      <c r="B24" s="202">
        <v>88267</v>
      </c>
      <c r="C24" t="s">
        <v>255</v>
      </c>
      <c r="D24" s="202">
        <v>20</v>
      </c>
      <c r="E24" s="239">
        <f t="shared" si="1"/>
        <v>1</v>
      </c>
      <c r="F24" s="240">
        <v>99.21</v>
      </c>
      <c r="G24" s="206">
        <f t="shared" si="2"/>
        <v>1984.1999999999998</v>
      </c>
      <c r="H24" s="206">
        <f t="shared" si="3"/>
        <v>99.21</v>
      </c>
      <c r="I24">
        <f t="shared" si="4"/>
        <v>2418.831366040552</v>
      </c>
    </row>
    <row r="25" spans="1:9" x14ac:dyDescent="0.35">
      <c r="A25" t="s">
        <v>262</v>
      </c>
      <c r="B25" s="202">
        <v>88309</v>
      </c>
      <c r="C25" t="s">
        <v>255</v>
      </c>
      <c r="D25" s="202">
        <v>8</v>
      </c>
      <c r="E25" s="239">
        <f t="shared" si="1"/>
        <v>0.4</v>
      </c>
      <c r="F25" s="240">
        <v>102.81</v>
      </c>
      <c r="G25" s="206">
        <f t="shared" si="2"/>
        <v>822.48</v>
      </c>
      <c r="H25" s="206">
        <f t="shared" si="3"/>
        <v>41.124000000000002</v>
      </c>
      <c r="I25">
        <f t="shared" si="4"/>
        <v>1002.6410754667037</v>
      </c>
    </row>
    <row r="26" spans="1:9" x14ac:dyDescent="0.35">
      <c r="A26" t="s">
        <v>261</v>
      </c>
      <c r="B26" s="202">
        <v>88312</v>
      </c>
      <c r="C26" t="s">
        <v>255</v>
      </c>
      <c r="D26" s="202">
        <v>40</v>
      </c>
      <c r="E26" s="239">
        <f t="shared" si="1"/>
        <v>2</v>
      </c>
      <c r="F26" s="240">
        <v>29.26</v>
      </c>
      <c r="G26" s="206">
        <f t="shared" si="2"/>
        <v>1170.4000000000001</v>
      </c>
      <c r="H26" s="206">
        <f t="shared" si="3"/>
        <v>58.52</v>
      </c>
      <c r="I26">
        <f t="shared" si="4"/>
        <v>1426.7716111348968</v>
      </c>
    </row>
    <row r="27" spans="1:9" x14ac:dyDescent="0.35">
      <c r="A27" t="s">
        <v>270</v>
      </c>
      <c r="B27" s="202">
        <v>88315</v>
      </c>
      <c r="C27" t="s">
        <v>255</v>
      </c>
      <c r="D27" s="202">
        <v>8</v>
      </c>
      <c r="E27" s="239">
        <f t="shared" si="1"/>
        <v>0.4</v>
      </c>
      <c r="F27" s="240">
        <v>29.81</v>
      </c>
      <c r="G27" s="206">
        <f t="shared" si="2"/>
        <v>238.48</v>
      </c>
      <c r="H27" s="206">
        <f t="shared" si="3"/>
        <v>11.923999999999999</v>
      </c>
      <c r="I27">
        <f t="shared" si="4"/>
        <v>290.71812527635865</v>
      </c>
    </row>
    <row r="28" spans="1:9" x14ac:dyDescent="0.35">
      <c r="A28" t="s">
        <v>271</v>
      </c>
      <c r="B28" s="202">
        <v>88325</v>
      </c>
      <c r="C28" t="s">
        <v>255</v>
      </c>
      <c r="D28" s="202">
        <v>8</v>
      </c>
      <c r="E28" s="239">
        <f t="shared" si="1"/>
        <v>0.4</v>
      </c>
      <c r="F28" s="240">
        <v>27.49</v>
      </c>
      <c r="G28" s="206">
        <f t="shared" si="2"/>
        <v>219.92</v>
      </c>
      <c r="H28" s="206">
        <f t="shared" si="3"/>
        <v>10.996</v>
      </c>
      <c r="I28">
        <f t="shared" si="4"/>
        <v>268.09262877715867</v>
      </c>
    </row>
    <row r="29" spans="1:9" x14ac:dyDescent="0.35">
      <c r="A29" s="191" t="s">
        <v>265</v>
      </c>
      <c r="E29" s="239"/>
      <c r="G29">
        <f>SUM(G22:G28)</f>
        <v>5309.48</v>
      </c>
      <c r="H29">
        <f>SUM(H22:H28)</f>
        <v>265.47399999999999</v>
      </c>
    </row>
    <row r="30" spans="1:9" ht="15" thickBot="1" x14ac:dyDescent="0.4">
      <c r="A30" t="s">
        <v>293</v>
      </c>
      <c r="G30" s="222">
        <f>'Dados do Licitante'!F102</f>
        <v>0.23904614758620713</v>
      </c>
      <c r="H30" s="222">
        <f>'Dados do Licitante'!F102</f>
        <v>0.23904614758620713</v>
      </c>
    </row>
    <row r="31" spans="1:9" ht="15" thickBot="1" x14ac:dyDescent="0.4">
      <c r="A31" t="s">
        <v>310</v>
      </c>
      <c r="G31" s="228">
        <v>0.02</v>
      </c>
      <c r="H31" s="228">
        <v>0.02</v>
      </c>
    </row>
    <row r="32" spans="1:9" ht="15" thickBot="1" x14ac:dyDescent="0.4">
      <c r="A32" s="226" t="s">
        <v>313</v>
      </c>
      <c r="B32" s="216"/>
      <c r="C32" s="216"/>
      <c r="D32" s="216"/>
      <c r="E32" s="216"/>
      <c r="F32" s="216"/>
      <c r="G32" s="229">
        <f>G30-G31</f>
        <v>0.21904614758620713</v>
      </c>
      <c r="H32" s="229">
        <f>H30-H31</f>
        <v>0.21904614758620713</v>
      </c>
    </row>
    <row r="33" spans="1:9" ht="15" thickBot="1" x14ac:dyDescent="0.4">
      <c r="A33" s="224" t="s">
        <v>312</v>
      </c>
      <c r="B33" s="225"/>
      <c r="C33" s="225"/>
      <c r="D33" s="225"/>
      <c r="E33" s="225"/>
      <c r="F33" s="225"/>
      <c r="G33" s="230">
        <f>G29*(1+G32)</f>
        <v>6472.5011396860145</v>
      </c>
      <c r="H33" s="231">
        <f>H29*(1+H32)</f>
        <v>323.62505698430073</v>
      </c>
      <c r="I33" s="190"/>
    </row>
    <row r="34" spans="1:9" ht="15" thickBot="1" x14ac:dyDescent="0.4">
      <c r="A34" s="191"/>
      <c r="G34" s="205"/>
      <c r="H34" s="190"/>
      <c r="I34" s="190"/>
    </row>
    <row r="35" spans="1:9" ht="16" thickBot="1" x14ac:dyDescent="0.4">
      <c r="A35" s="241"/>
      <c r="B35" s="243" t="s">
        <v>319</v>
      </c>
      <c r="C35" s="244" t="s">
        <v>320</v>
      </c>
      <c r="D35" s="247" t="s">
        <v>238</v>
      </c>
    </row>
    <row r="36" spans="1:9" ht="47" customHeight="1" thickBot="1" x14ac:dyDescent="0.4">
      <c r="A36" s="242" t="s">
        <v>267</v>
      </c>
      <c r="B36" s="245">
        <f>D36/20</f>
        <v>9642.28727513382</v>
      </c>
      <c r="C36" s="246">
        <f>B36*12</f>
        <v>115707.44730160583</v>
      </c>
      <c r="D36" s="248">
        <f>G33+F17</f>
        <v>192845.74550267641</v>
      </c>
      <c r="E36" s="262" t="s">
        <v>327</v>
      </c>
      <c r="G36" s="190"/>
    </row>
    <row r="37" spans="1:9" ht="15" thickBot="1" x14ac:dyDescent="0.4"/>
    <row r="38" spans="1:9" ht="15" thickBot="1" x14ac:dyDescent="0.4">
      <c r="A38" s="253" t="s">
        <v>322</v>
      </c>
      <c r="B38" s="251"/>
      <c r="C38" s="251"/>
      <c r="D38" s="251"/>
      <c r="E38" s="251"/>
      <c r="F38" s="251"/>
      <c r="G38" s="252"/>
    </row>
    <row r="39" spans="1:9" ht="15" thickBot="1" x14ac:dyDescent="0.4">
      <c r="A39" s="253" t="s">
        <v>323</v>
      </c>
      <c r="B39" s="254"/>
    </row>
  </sheetData>
  <mergeCells count="3">
    <mergeCell ref="F20:H20"/>
    <mergeCell ref="A14:B14"/>
    <mergeCell ref="A1:F1"/>
  </mergeCells>
  <pageMargins left="0.511811024" right="0.511811024" top="0.78740157499999996" bottom="0.78740157499999996" header="0.31496062000000002" footer="0.31496062000000002"/>
  <pageSetup paperSize="9" scale="5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11D3F-FC4F-418E-99E8-77D465441F03}">
  <dimension ref="A1:F10"/>
  <sheetViews>
    <sheetView workbookViewId="0">
      <selection activeCell="C14" sqref="C14"/>
    </sheetView>
  </sheetViews>
  <sheetFormatPr defaultRowHeight="14.5" x14ac:dyDescent="0.35"/>
  <cols>
    <col min="2" max="2" width="11.1796875" bestFit="1" customWidth="1"/>
    <col min="3" max="3" width="14.90625" customWidth="1"/>
  </cols>
  <sheetData>
    <row r="1" spans="1:6" ht="15" thickBot="1" x14ac:dyDescent="0.4">
      <c r="A1" s="542" t="s">
        <v>328</v>
      </c>
      <c r="B1" s="542"/>
      <c r="C1" s="542"/>
      <c r="D1" s="542"/>
      <c r="E1" s="542"/>
      <c r="F1" s="542"/>
    </row>
    <row r="2" spans="1:6" ht="18.5" x14ac:dyDescent="0.45">
      <c r="A2" s="201"/>
      <c r="B2" s="256" t="s">
        <v>231</v>
      </c>
      <c r="C2" s="258" t="s">
        <v>233</v>
      </c>
    </row>
    <row r="3" spans="1:6" ht="18.5" x14ac:dyDescent="0.45">
      <c r="A3" s="255" t="s">
        <v>324</v>
      </c>
      <c r="B3" s="257">
        <f>'ITEM 01 '!E15</f>
        <v>35084.787602718701</v>
      </c>
      <c r="C3" s="259">
        <f>'ITEM 01 '!E11</f>
        <v>701695.75205437397</v>
      </c>
    </row>
    <row r="4" spans="1:6" ht="18.5" x14ac:dyDescent="0.45">
      <c r="A4" s="255" t="s">
        <v>325</v>
      </c>
      <c r="B4" s="257">
        <f>'ITEM 02 Serviços sob demanda'!B36</f>
        <v>9642.28727513382</v>
      </c>
      <c r="C4" s="259">
        <f>'ITEM 02 Serviços sob demanda'!D36</f>
        <v>192845.74550267641</v>
      </c>
    </row>
    <row r="5" spans="1:6" ht="19" thickBot="1" x14ac:dyDescent="0.5">
      <c r="A5" s="255" t="s">
        <v>326</v>
      </c>
      <c r="B5" s="257">
        <f>SUM(B3,B4)</f>
        <v>44727.074877852523</v>
      </c>
      <c r="C5" s="260">
        <f>SUM(C3,C4)</f>
        <v>894541.49755705032</v>
      </c>
    </row>
    <row r="6" spans="1:6" ht="18.5" x14ac:dyDescent="0.45">
      <c r="A6" s="201"/>
      <c r="B6" s="201"/>
      <c r="C6" s="201"/>
    </row>
    <row r="7" spans="1:6" x14ac:dyDescent="0.35">
      <c r="A7" s="543" t="s">
        <v>344</v>
      </c>
      <c r="B7" s="543"/>
      <c r="C7" s="543"/>
    </row>
    <row r="8" spans="1:6" x14ac:dyDescent="0.35">
      <c r="A8" s="543"/>
      <c r="B8" s="543"/>
      <c r="C8" s="543"/>
    </row>
    <row r="9" spans="1:6" x14ac:dyDescent="0.35">
      <c r="A9" s="543"/>
      <c r="B9" s="543"/>
      <c r="C9" s="543"/>
    </row>
    <row r="10" spans="1:6" x14ac:dyDescent="0.35">
      <c r="A10" s="543"/>
      <c r="B10" s="543"/>
      <c r="C10" s="543"/>
    </row>
  </sheetData>
  <mergeCells count="2">
    <mergeCell ref="A1:F1"/>
    <mergeCell ref="A7:C10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Dados do Licitante</vt:lpstr>
      <vt:lpstr>Uniformes</vt:lpstr>
      <vt:lpstr>Oficial de Manutenção predial</vt:lpstr>
      <vt:lpstr>Técnico ar-condicionado</vt:lpstr>
      <vt:lpstr>instalador Hidráulico</vt:lpstr>
      <vt:lpstr>Eletricista</vt:lpstr>
      <vt:lpstr>ITEM 01 </vt:lpstr>
      <vt:lpstr>ITEM 02 Serviços sob demanda</vt:lpstr>
      <vt:lpstr>Total do Grupo</vt:lpstr>
    </vt:vector>
  </TitlesOfParts>
  <Company>Receita Federal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Fabiana Campos da Costa</dc:creator>
  <cp:lastModifiedBy>Fabiana Campos da Costa</cp:lastModifiedBy>
  <cp:lastPrinted>2022-11-03T17:19:50Z</cp:lastPrinted>
  <dcterms:created xsi:type="dcterms:W3CDTF">2022-09-16T18:16:17Z</dcterms:created>
  <dcterms:modified xsi:type="dcterms:W3CDTF">2022-11-04T11:54:12Z</dcterms:modified>
</cp:coreProperties>
</file>